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yt56674\Documents\__Requests + Shared\_2022fy\Annual report 2020fy revision\"/>
    </mc:Choice>
  </mc:AlternateContent>
  <bookViews>
    <workbookView xWindow="0" yWindow="0" windowWidth="19200" windowHeight="11460" tabRatio="727"/>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36" r:id="rId26"/>
    <sheet name="Table 6.2" sheetId="35" r:id="rId27"/>
    <sheet name="Table 6.3" sheetId="34" r:id="rId28"/>
    <sheet name="Table 6.4" sheetId="33" r:id="rId29"/>
    <sheet name="Table 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3" hidden="1">[2]Table2.1..2.2!$B$13:$B$17</definedName>
    <definedName name="OLE_LINK1" localSheetId="15">'Table 3.1'!$A$5</definedName>
    <definedName name="_xlnm.Print_Area" localSheetId="1">AnnRptCont!$A$1:$E$50</definedName>
    <definedName name="_xlnm.Print_Area" localSheetId="3">'By Account'!$A$1:$J$49</definedName>
    <definedName name="_xlnm.Print_Area" localSheetId="30">Directory!$A$1:$L$18</definedName>
    <definedName name="_xlnm.Print_Area" localSheetId="2">'Rev.Exp.'!$A$1:$L$50</definedName>
    <definedName name="_xlnm.Print_Area" localSheetId="4">'Table 1.1'!$A$1:$F$46</definedName>
    <definedName name="_xlnm.Print_Area" localSheetId="12">'Table 1.10'!$A$1:$I$52</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1.8-1.9'!$A$1:$M$43</definedName>
    <definedName name="_xlnm.Print_Area" localSheetId="13">'Table 2.1'!$A$1:$F$38</definedName>
    <definedName name="_xlnm.Print_Area" localSheetId="14">'Table 2.2'!$A$1:$L$31</definedName>
    <definedName name="_xlnm.Print_Area" localSheetId="15">'Table 3.1'!$A$1:$F$61</definedName>
    <definedName name="_xlnm.Print_Area" localSheetId="16">'Table 4.1'!$A$1:$M$50</definedName>
    <definedName name="_xlnm.Print_Area" localSheetId="17">'Table 4.2'!$A$1:$F$39</definedName>
    <definedName name="_xlnm.Print_Area" localSheetId="18">'Table 4.3'!$A$1:$J$98</definedName>
    <definedName name="_xlnm.Print_Area" localSheetId="19">'Table 5.1'!$A$1:$I$26</definedName>
    <definedName name="_xlnm.Print_Area" localSheetId="22">'Table 5.5'!$A$1:$F$199</definedName>
    <definedName name="_xlnm.Print_Area" localSheetId="23">'Table 5.6'!$A$1:$L$110</definedName>
    <definedName name="_xlnm.Print_Area" localSheetId="24">'Table 5.7'!$A$1:$M$39</definedName>
    <definedName name="_xlnm.Print_Area" localSheetId="25">'Table 6.1'!$A$1:$H$30</definedName>
    <definedName name="_xlnm.Print_Area" localSheetId="26">'Table 6.2'!$A$1:$H$205</definedName>
    <definedName name="_xlnm.Print_Area" localSheetId="27">'Table 6.3'!$A$1:$H$209</definedName>
    <definedName name="_xlnm.Print_Area" localSheetId="28">'Table 6.4'!$A$1:$P$213</definedName>
    <definedName name="_xlnm.Print_Area" localSheetId="29">'Table 7.1'!$A$1:$H$33</definedName>
    <definedName name="_xlnm.Print_Area" localSheetId="9">Table1.6!$A$1:$L$211</definedName>
    <definedName name="_xlnm.Print_Area" localSheetId="21">'Tables 5.3-5.4'!$A$1:$F$45</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AnnRptCont!$A$1:$E$51</definedName>
    <definedName name="Z_E6BBE5A7_0B25_4EE8_BA45_5EA5DBAF3AD4_.wvu.PrintArea" localSheetId="3" hidden="1">'By Account'!$A$1:$J$48</definedName>
    <definedName name="Z_E6BBE5A7_0B25_4EE8_BA45_5EA5DBAF3AD4_.wvu.PrintArea" localSheetId="30" hidden="1">Directory!$A$1:$J$18</definedName>
    <definedName name="Z_E6BBE5A7_0B25_4EE8_BA45_5EA5DBAF3AD4_.wvu.PrintArea" localSheetId="2" hidden="1">'Rev.Exp.'!$A$1:$L$50</definedName>
    <definedName name="Z_E6BBE5A7_0B25_4EE8_BA45_5EA5DBAF3AD4_.wvu.PrintArea" localSheetId="4" hidden="1">'Table 1.1'!$A$1:$F$46</definedName>
    <definedName name="Z_E6BBE5A7_0B25_4EE8_BA45_5EA5DBAF3AD4_.wvu.PrintArea" localSheetId="12" hidden="1">'Table 1.10'!$A$1:$I$51</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1.5'!$A$1:$M$211</definedName>
    <definedName name="Z_E6BBE5A7_0B25_4EE8_BA45_5EA5DBAF3AD4_.wvu.PrintArea" localSheetId="10" hidden="1">'Table 1.7'!$A$1:$G$207</definedName>
    <definedName name="Z_E6BBE5A7_0B25_4EE8_BA45_5EA5DBAF3AD4_.wvu.PrintArea" localSheetId="11" hidden="1">'Table 1.8-1.9'!$A$1:$M$43</definedName>
    <definedName name="Z_E6BBE5A7_0B25_4EE8_BA45_5EA5DBAF3AD4_.wvu.PrintArea" localSheetId="13" hidden="1">'Table 2.1'!$A$1:$D$36</definedName>
    <definedName name="Z_E6BBE5A7_0B25_4EE8_BA45_5EA5DBAF3AD4_.wvu.PrintArea" localSheetId="14" hidden="1">'Table 2.2'!$A$1:$L$31</definedName>
    <definedName name="Z_E6BBE5A7_0B25_4EE8_BA45_5EA5DBAF3AD4_.wvu.PrintArea" localSheetId="15" hidden="1">'Table 3.1'!$A$1:$F$61</definedName>
    <definedName name="Z_E6BBE5A7_0B25_4EE8_BA45_5EA5DBAF3AD4_.wvu.PrintArea" localSheetId="16" hidden="1">'Table 4.1'!$A$1:$M$50</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22" hidden="1">'Table 5.5'!$A$1:$F$196</definedName>
    <definedName name="Z_E6BBE5A7_0B25_4EE8_BA45_5EA5DBAF3AD4_.wvu.PrintArea" localSheetId="23" hidden="1">'Table 5.6'!$A$1:$L$110</definedName>
    <definedName name="Z_E6BBE5A7_0B25_4EE8_BA45_5EA5DBAF3AD4_.wvu.PrintArea" localSheetId="29" hidden="1">'Table 7.1'!$A$1:$D$30</definedName>
    <definedName name="Z_E6BBE5A7_0B25_4EE8_BA45_5EA5DBAF3AD4_.wvu.PrintArea" localSheetId="9" hidden="1">Table1.6!$A$1:$L$210</definedName>
    <definedName name="Z_E6BBE5A7_0B25_4EE8_BA45_5EA5DBAF3AD4_.wvu.PrintArea" localSheetId="21" hidden="1">'Tables 5.3-5.4'!$A$1:$F$45</definedName>
    <definedName name="Z_E6BBE5A7_0B25_4EE8_BA45_5EA5DBAF3AD4_.wvu.PrintArea" localSheetId="0" hidden="1">'Title Page'!$A$1:$H$20</definedName>
    <definedName name="Z_E6BBE5A7_0B25_4EE8_BA45_5EA5DBAF3AD4_.wvu.PrintTitles" localSheetId="15" hidden="1">'Table 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E147" i="34" l="1"/>
  <c r="B147" i="34" l="1"/>
  <c r="F147" i="34"/>
  <c r="G147" i="34" l="1"/>
  <c r="B33" i="18"/>
  <c r="I19" i="17"/>
  <c r="D19" i="17"/>
  <c r="B43" i="13" l="1"/>
  <c r="C43" i="13"/>
  <c r="E43" i="13"/>
  <c r="F43" i="13"/>
  <c r="H43" i="13"/>
  <c r="I43" i="13"/>
  <c r="D35" i="7" l="1"/>
  <c r="G35" i="7" l="1"/>
  <c r="M208" i="9" l="1"/>
  <c r="H34" i="6" l="1"/>
  <c r="G45" i="8" l="1"/>
  <c r="AC23" i="7"/>
  <c r="P34" i="3" l="1"/>
  <c r="P29" i="3"/>
  <c r="E38" i="4"/>
  <c r="O34" i="4"/>
  <c r="C19" i="17"/>
  <c r="C28" i="4"/>
  <c r="C9" i="4" l="1"/>
  <c r="E7" i="4" l="1"/>
  <c r="P33" i="3" l="1"/>
  <c r="C39" i="3"/>
  <c r="C7" i="3" l="1"/>
  <c r="C22" i="30" l="1"/>
  <c r="I41" i="22" l="1"/>
  <c r="I42" i="22" s="1"/>
  <c r="H41" i="22"/>
  <c r="H42" i="22" s="1"/>
  <c r="G41" i="22"/>
  <c r="G42" i="22" s="1"/>
  <c r="E41" i="22"/>
  <c r="E42" i="22" s="1"/>
  <c r="C25" i="4"/>
  <c r="F41" i="22"/>
  <c r="F42" i="22" s="1"/>
  <c r="D41" i="22"/>
  <c r="D42" i="22" s="1"/>
  <c r="C41" i="22"/>
  <c r="C42" i="22" s="1"/>
  <c r="B41" i="22"/>
  <c r="B42" i="22" s="1"/>
  <c r="C17" i="22"/>
  <c r="D17" i="22"/>
  <c r="E17" i="22"/>
  <c r="F17" i="22"/>
  <c r="G17" i="22"/>
  <c r="H17" i="22"/>
  <c r="B17" i="22"/>
  <c r="H16" i="22"/>
  <c r="G16" i="22"/>
  <c r="F16" i="22"/>
  <c r="E16" i="22"/>
  <c r="D16" i="22"/>
  <c r="C16" i="22"/>
  <c r="B16" i="22"/>
  <c r="G17" i="21"/>
  <c r="F17" i="21"/>
  <c r="C15" i="4"/>
  <c r="E17" i="21"/>
  <c r="C14" i="4"/>
  <c r="D17" i="21"/>
  <c r="C17" i="21"/>
  <c r="C12" i="4"/>
  <c r="B17" i="21"/>
  <c r="C11" i="4"/>
  <c r="J19" i="17"/>
  <c r="K19" i="17"/>
  <c r="H96" i="19"/>
  <c r="I20" i="17"/>
  <c r="L19" i="17"/>
  <c r="H19" i="17"/>
  <c r="G19" i="17"/>
  <c r="C13" i="4"/>
  <c r="F19" i="17"/>
  <c r="E19" i="17"/>
  <c r="B19" i="17" l="1"/>
  <c r="E8" i="3" l="1"/>
  <c r="C8" i="3" l="1"/>
  <c r="B18" i="3"/>
  <c r="C36" i="4" l="1"/>
  <c r="C35" i="4"/>
  <c r="C34" i="4"/>
  <c r="C33" i="4"/>
  <c r="C32" i="4"/>
  <c r="C31" i="4"/>
  <c r="C30" i="4"/>
  <c r="C29" i="4"/>
  <c r="C26" i="4"/>
  <c r="C27" i="4"/>
  <c r="C24" i="4" l="1"/>
  <c r="C23" i="4"/>
  <c r="D15" i="14" l="1"/>
  <c r="C22" i="4"/>
  <c r="C21" i="4" l="1"/>
  <c r="C16" i="4" l="1"/>
  <c r="B47" i="3"/>
  <c r="E7" i="3"/>
  <c r="C10" i="4" l="1"/>
  <c r="C8" i="4" l="1"/>
  <c r="C7" i="4" l="1"/>
  <c r="B41" i="23" l="1"/>
  <c r="F29" i="23"/>
  <c r="M9" i="9" l="1"/>
  <c r="A3" i="9"/>
  <c r="A46" i="9" s="1"/>
  <c r="A89" i="9" s="1"/>
  <c r="A132" i="9" s="1"/>
  <c r="A176" i="9" s="1"/>
  <c r="M206" i="9"/>
  <c r="M202" i="9"/>
  <c r="M201" i="9"/>
  <c r="M200" i="9"/>
  <c r="M199" i="9"/>
  <c r="M197" i="9"/>
  <c r="M196" i="9"/>
  <c r="M195" i="9"/>
  <c r="M194" i="9"/>
  <c r="M192" i="9"/>
  <c r="M191" i="9"/>
  <c r="M190" i="9"/>
  <c r="M189" i="9"/>
  <c r="M188" i="9"/>
  <c r="M186" i="9"/>
  <c r="M185" i="9"/>
  <c r="M184" i="9"/>
  <c r="M183" i="9"/>
  <c r="M182" i="9"/>
  <c r="L177" i="9"/>
  <c r="L204" i="9" s="1"/>
  <c r="K177" i="9"/>
  <c r="K204" i="9" s="1"/>
  <c r="J177" i="9"/>
  <c r="J204" i="9" s="1"/>
  <c r="I177" i="9"/>
  <c r="I204" i="9" s="1"/>
  <c r="H177" i="9"/>
  <c r="H204" i="9" s="1"/>
  <c r="G177" i="9"/>
  <c r="G204" i="9" s="1"/>
  <c r="F177" i="9"/>
  <c r="F204" i="9" s="1"/>
  <c r="E177" i="9"/>
  <c r="E204" i="9" s="1"/>
  <c r="D177" i="9"/>
  <c r="D204" i="9" s="1"/>
  <c r="C177" i="9"/>
  <c r="C204" i="9" s="1"/>
  <c r="B177" i="9"/>
  <c r="B204" i="9" s="1"/>
  <c r="M173" i="9"/>
  <c r="M172" i="9"/>
  <c r="M171" i="9"/>
  <c r="M170" i="9"/>
  <c r="M169" i="9"/>
  <c r="M167" i="9"/>
  <c r="M166" i="9"/>
  <c r="M165" i="9"/>
  <c r="M164" i="9"/>
  <c r="M163" i="9"/>
  <c r="M161" i="9"/>
  <c r="M160" i="9"/>
  <c r="M159" i="9"/>
  <c r="M158" i="9"/>
  <c r="M157" i="9"/>
  <c r="M155" i="9"/>
  <c r="M154" i="9"/>
  <c r="M153" i="9"/>
  <c r="M152" i="9"/>
  <c r="M151" i="9"/>
  <c r="M142" i="9"/>
  <c r="M141" i="9"/>
  <c r="M140" i="9"/>
  <c r="M139" i="9"/>
  <c r="M138" i="9"/>
  <c r="L133" i="9"/>
  <c r="K133" i="9"/>
  <c r="J133" i="9"/>
  <c r="I133" i="9"/>
  <c r="H133" i="9"/>
  <c r="G133" i="9"/>
  <c r="F133" i="9"/>
  <c r="E133" i="9"/>
  <c r="D133" i="9"/>
  <c r="C133" i="9"/>
  <c r="B133" i="9"/>
  <c r="M129" i="9"/>
  <c r="M128" i="9"/>
  <c r="M127" i="9"/>
  <c r="M126" i="9"/>
  <c r="M125" i="9"/>
  <c r="M123" i="9"/>
  <c r="M122" i="9"/>
  <c r="M121" i="9"/>
  <c r="M120" i="9"/>
  <c r="M119" i="9"/>
  <c r="M117" i="9"/>
  <c r="M116" i="9"/>
  <c r="M115" i="9"/>
  <c r="M114" i="9"/>
  <c r="M113" i="9"/>
  <c r="M111" i="9"/>
  <c r="M110" i="9"/>
  <c r="M109" i="9"/>
  <c r="M108" i="9"/>
  <c r="M107" i="9"/>
  <c r="M105" i="9"/>
  <c r="M104" i="9"/>
  <c r="M103" i="9"/>
  <c r="M102" i="9"/>
  <c r="M101" i="9"/>
  <c r="M99" i="9"/>
  <c r="M98" i="9"/>
  <c r="M97" i="9"/>
  <c r="M96" i="9"/>
  <c r="M95" i="9"/>
  <c r="L90" i="9"/>
  <c r="K90" i="9"/>
  <c r="J90" i="9"/>
  <c r="I90" i="9"/>
  <c r="H90" i="9"/>
  <c r="G90" i="9"/>
  <c r="F90" i="9"/>
  <c r="E90" i="9"/>
  <c r="D90" i="9"/>
  <c r="C90" i="9"/>
  <c r="B90" i="9"/>
  <c r="M86" i="9"/>
  <c r="M85" i="9"/>
  <c r="M84" i="9"/>
  <c r="M83" i="9"/>
  <c r="M82" i="9"/>
  <c r="M80" i="9"/>
  <c r="M79" i="9"/>
  <c r="M78" i="9"/>
  <c r="M77" i="9"/>
  <c r="M76" i="9"/>
  <c r="M74" i="9"/>
  <c r="M73" i="9"/>
  <c r="M72" i="9"/>
  <c r="M71" i="9"/>
  <c r="M70" i="9"/>
  <c r="M68" i="9"/>
  <c r="M67" i="9"/>
  <c r="M66" i="9"/>
  <c r="M65" i="9"/>
  <c r="M64" i="9"/>
  <c r="M62" i="9"/>
  <c r="M61" i="9"/>
  <c r="M60" i="9"/>
  <c r="M59" i="9"/>
  <c r="M58" i="9"/>
  <c r="M56" i="9"/>
  <c r="M55" i="9"/>
  <c r="M54" i="9"/>
  <c r="M53" i="9"/>
  <c r="M52" i="9"/>
  <c r="M90" i="9" s="1"/>
  <c r="L47" i="9"/>
  <c r="K47" i="9"/>
  <c r="J47" i="9"/>
  <c r="I47" i="9"/>
  <c r="H47" i="9"/>
  <c r="G47" i="9"/>
  <c r="F47" i="9"/>
  <c r="E47" i="9"/>
  <c r="D47" i="9"/>
  <c r="C47" i="9"/>
  <c r="B47" i="9"/>
  <c r="M43" i="9"/>
  <c r="M42" i="9"/>
  <c r="M41" i="9"/>
  <c r="M40" i="9"/>
  <c r="M39" i="9"/>
  <c r="M37" i="9"/>
  <c r="M36" i="9"/>
  <c r="M35" i="9"/>
  <c r="M34" i="9"/>
  <c r="M33" i="9"/>
  <c r="M31" i="9"/>
  <c r="M30" i="9"/>
  <c r="M29" i="9"/>
  <c r="M28" i="9"/>
  <c r="M27" i="9"/>
  <c r="M25" i="9"/>
  <c r="M24" i="9"/>
  <c r="M23" i="9"/>
  <c r="M22" i="9"/>
  <c r="M21" i="9"/>
  <c r="M19" i="9"/>
  <c r="M18" i="9"/>
  <c r="M17" i="9"/>
  <c r="M16" i="9"/>
  <c r="M15" i="9"/>
  <c r="M13" i="9"/>
  <c r="M12" i="9"/>
  <c r="M11" i="9"/>
  <c r="M10" i="9"/>
  <c r="M177" i="9" l="1"/>
  <c r="M204" i="9" s="1"/>
  <c r="M133" i="9"/>
  <c r="C144" i="9"/>
  <c r="C205" i="9" s="1"/>
  <c r="C208" i="9" s="1"/>
  <c r="G144" i="9"/>
  <c r="G205" i="9" s="1"/>
  <c r="G208" i="9" s="1"/>
  <c r="K144" i="9"/>
  <c r="K205" i="9" s="1"/>
  <c r="D144" i="9"/>
  <c r="D205" i="9" s="1"/>
  <c r="D208" i="9" s="1"/>
  <c r="H144" i="9"/>
  <c r="H205" i="9" s="1"/>
  <c r="L144" i="9"/>
  <c r="L205" i="9" s="1"/>
  <c r="L208" i="9" s="1"/>
  <c r="I208" i="9"/>
  <c r="M47" i="9"/>
  <c r="E144" i="9"/>
  <c r="E205" i="9" s="1"/>
  <c r="E208" i="9" s="1"/>
  <c r="I144" i="9"/>
  <c r="I205" i="9" s="1"/>
  <c r="B144" i="9"/>
  <c r="B205" i="9" s="1"/>
  <c r="B208" i="9" s="1"/>
  <c r="F144" i="9"/>
  <c r="F205" i="9" s="1"/>
  <c r="J144" i="9"/>
  <c r="J205" i="9" s="1"/>
  <c r="J208" i="9" s="1"/>
  <c r="H208" i="9"/>
  <c r="K208" i="9"/>
  <c r="M144" i="9"/>
  <c r="M205" i="9" s="1"/>
  <c r="F208" i="9"/>
  <c r="K25" i="6" l="1"/>
  <c r="AB23" i="5" l="1"/>
  <c r="C6" i="3"/>
  <c r="C37" i="3" l="1"/>
  <c r="C36" i="3"/>
  <c r="C35" i="3"/>
  <c r="C34" i="3"/>
  <c r="C167" i="24" l="1"/>
  <c r="D167" i="24"/>
  <c r="E167" i="24"/>
  <c r="B167" i="24"/>
  <c r="C139" i="24"/>
  <c r="D139" i="24"/>
  <c r="E139" i="24"/>
  <c r="B139" i="24"/>
  <c r="C128" i="24"/>
  <c r="D128" i="24"/>
  <c r="E128" i="24"/>
  <c r="B128" i="24"/>
  <c r="C87" i="24"/>
  <c r="D87" i="24"/>
  <c r="E87" i="24"/>
  <c r="B87" i="24"/>
  <c r="C46" i="24"/>
  <c r="D46" i="24"/>
  <c r="E46" i="24"/>
  <c r="B46" i="24"/>
  <c r="G20" i="12" l="1"/>
  <c r="L20" i="12"/>
  <c r="I20" i="12"/>
  <c r="J20" i="12"/>
  <c r="S40" i="12"/>
  <c r="A3" i="7"/>
  <c r="I39" i="3" l="1"/>
  <c r="O10" i="17" l="1"/>
  <c r="O13" i="17"/>
  <c r="C38" i="4" l="1"/>
  <c r="C12" i="3" s="1"/>
  <c r="C17" i="3" s="1"/>
  <c r="E17" i="3" s="1"/>
  <c r="E37" i="3" l="1"/>
  <c r="K20" i="17" l="1"/>
  <c r="H20" i="17"/>
  <c r="G20" i="17"/>
  <c r="F20" i="17"/>
  <c r="E20" i="17"/>
  <c r="D20" i="17"/>
  <c r="L20" i="17"/>
  <c r="C20" i="17" l="1"/>
  <c r="B20" i="17"/>
  <c r="E21" i="4" l="1"/>
  <c r="E22" i="4"/>
  <c r="E14" i="4"/>
  <c r="B42" i="23" l="1"/>
  <c r="F28" i="23" l="1"/>
  <c r="E29" i="23"/>
  <c r="F5" i="23" l="1"/>
  <c r="F6" i="23"/>
  <c r="F7" i="23"/>
  <c r="F8" i="23"/>
  <c r="F9" i="23"/>
  <c r="F10" i="23"/>
  <c r="F13" i="23"/>
  <c r="F14" i="23"/>
  <c r="F15" i="23"/>
  <c r="F19" i="23"/>
  <c r="F20" i="23"/>
  <c r="G93" i="19" l="1"/>
  <c r="E16" i="4" l="1"/>
  <c r="D34" i="6" l="1"/>
  <c r="H25" i="36" l="1"/>
  <c r="G25" i="36"/>
  <c r="F25" i="36"/>
  <c r="E25" i="36"/>
  <c r="D25" i="36"/>
  <c r="C25" i="36"/>
  <c r="H24" i="36"/>
  <c r="G24" i="36"/>
  <c r="F24" i="36"/>
  <c r="E24" i="36"/>
  <c r="D24" i="36"/>
  <c r="C24" i="36"/>
  <c r="H23" i="36"/>
  <c r="G23" i="36"/>
  <c r="F23" i="36"/>
  <c r="E23" i="36"/>
  <c r="D23" i="36"/>
  <c r="C23" i="36"/>
  <c r="H22" i="36"/>
  <c r="G22" i="36"/>
  <c r="F22" i="36"/>
  <c r="E22" i="36"/>
  <c r="D22" i="36"/>
  <c r="C22" i="36"/>
  <c r="B18" i="36"/>
  <c r="B25" i="36" s="1"/>
  <c r="B17" i="36"/>
  <c r="B24" i="36" s="1"/>
  <c r="B16" i="36"/>
  <c r="B23" i="36" s="1"/>
  <c r="B15" i="36"/>
  <c r="B22" i="36" s="1"/>
  <c r="B12" i="36"/>
  <c r="B19" i="36" s="1"/>
  <c r="B26" i="36" s="1"/>
  <c r="P198" i="33"/>
  <c r="N198" i="33"/>
  <c r="L198" i="33"/>
  <c r="J198" i="33"/>
  <c r="H198" i="33"/>
  <c r="F198" i="33"/>
  <c r="D198" i="33"/>
  <c r="B198" i="33"/>
  <c r="P140" i="33"/>
  <c r="P199" i="33" s="1"/>
  <c r="N140" i="33"/>
  <c r="N199" i="33" s="1"/>
  <c r="L140" i="33"/>
  <c r="L199" i="33" s="1"/>
  <c r="J140" i="33"/>
  <c r="J199" i="33" s="1"/>
  <c r="H140" i="33"/>
  <c r="H199" i="33" s="1"/>
  <c r="F140" i="33"/>
  <c r="F199" i="33" s="1"/>
  <c r="D140" i="33"/>
  <c r="D199" i="33" s="1"/>
  <c r="B140" i="33"/>
  <c r="B199" i="33" s="1"/>
  <c r="A45" i="33"/>
  <c r="A87" i="33" s="1"/>
  <c r="A129" i="33" s="1"/>
  <c r="A171" i="33" s="1"/>
  <c r="H199" i="34"/>
  <c r="F199" i="34"/>
  <c r="E199" i="34"/>
  <c r="D199" i="34"/>
  <c r="C199" i="34"/>
  <c r="B199" i="34"/>
  <c r="H140" i="34"/>
  <c r="H200" i="34" s="1"/>
  <c r="F140" i="34"/>
  <c r="F200" i="34" s="1"/>
  <c r="E140" i="34"/>
  <c r="E200" i="34" s="1"/>
  <c r="D140" i="34"/>
  <c r="D200" i="34" s="1"/>
  <c r="D202" i="34" s="1"/>
  <c r="D212" i="34" s="1"/>
  <c r="C140" i="34"/>
  <c r="C200" i="34" s="1"/>
  <c r="B140" i="34"/>
  <c r="B200" i="34" s="1"/>
  <c r="A44" i="34"/>
  <c r="A86" i="34" s="1"/>
  <c r="A128" i="34" s="1"/>
  <c r="A171" i="34" s="1"/>
  <c r="G193" i="35"/>
  <c r="F193" i="35"/>
  <c r="E193" i="35"/>
  <c r="D193" i="35"/>
  <c r="C193" i="35"/>
  <c r="B193" i="35"/>
  <c r="G136" i="35"/>
  <c r="G194" i="35" s="1"/>
  <c r="F136" i="35"/>
  <c r="F194" i="35" s="1"/>
  <c r="E136" i="35"/>
  <c r="E194" i="35" s="1"/>
  <c r="D136" i="35"/>
  <c r="D194" i="35" s="1"/>
  <c r="C136" i="35"/>
  <c r="C194" i="35" s="1"/>
  <c r="B136" i="35"/>
  <c r="B194" i="35" s="1"/>
  <c r="A43" i="35"/>
  <c r="A84" i="35" s="1"/>
  <c r="A125" i="35" s="1"/>
  <c r="A166" i="35" s="1"/>
  <c r="E202" i="34" l="1"/>
  <c r="E212" i="34" s="1"/>
  <c r="C196" i="35"/>
  <c r="D196" i="35"/>
  <c r="E196" i="35"/>
  <c r="B196" i="35"/>
  <c r="F196" i="35"/>
  <c r="G196" i="35"/>
  <c r="B202" i="34"/>
  <c r="B212" i="34" s="1"/>
  <c r="F202" i="34"/>
  <c r="C202" i="34"/>
  <c r="H202" i="34"/>
  <c r="G199" i="34"/>
  <c r="B201" i="33"/>
  <c r="J201" i="33"/>
  <c r="G140" i="34"/>
  <c r="H201" i="33"/>
  <c r="P201" i="33"/>
  <c r="F201" i="33"/>
  <c r="N201" i="33"/>
  <c r="D201" i="33"/>
  <c r="L201" i="33"/>
  <c r="G200" i="34"/>
  <c r="E12" i="36" l="1"/>
  <c r="D12" i="36"/>
  <c r="F12" i="36"/>
  <c r="G12" i="36"/>
  <c r="H212" i="34"/>
  <c r="C212" i="34"/>
  <c r="G202" i="34"/>
  <c r="G212" i="34" s="1"/>
  <c r="F212" i="34"/>
  <c r="G208" i="35"/>
  <c r="E208" i="35"/>
  <c r="C12" i="36"/>
  <c r="F208" i="35"/>
  <c r="D208" i="35"/>
  <c r="C208" i="35"/>
  <c r="B208" i="35"/>
  <c r="F19" i="36"/>
  <c r="G19" i="36"/>
  <c r="D19" i="36"/>
  <c r="E19" i="36"/>
  <c r="C19" i="36"/>
  <c r="F46" i="24"/>
  <c r="F87" i="24" s="1"/>
  <c r="F128" i="24" s="1"/>
  <c r="F139" i="24" s="1"/>
  <c r="F167" i="24" s="1"/>
  <c r="F136" i="24"/>
  <c r="D33" i="18"/>
  <c r="F26" i="36" l="1"/>
  <c r="D26" i="36"/>
  <c r="E26" i="36"/>
  <c r="G26" i="36"/>
  <c r="C30" i="36"/>
  <c r="H12" i="36"/>
  <c r="D30" i="36"/>
  <c r="F30" i="36"/>
  <c r="E30" i="36"/>
  <c r="G30" i="36"/>
  <c r="C26" i="36"/>
  <c r="H19" i="36"/>
  <c r="M19" i="17"/>
  <c r="M20" i="17" s="1"/>
  <c r="J20" i="17"/>
  <c r="AA23" i="5"/>
  <c r="N33" i="4"/>
  <c r="H30" i="36" l="1"/>
  <c r="H26" i="36"/>
  <c r="E20" i="5" l="1"/>
  <c r="E10" i="4" l="1"/>
  <c r="L18" i="15" l="1"/>
  <c r="D41" i="12" l="1"/>
  <c r="F33" i="18" l="1"/>
  <c r="D6" i="19" l="1"/>
  <c r="E16" i="23"/>
  <c r="D16" i="23"/>
  <c r="A43" i="24" l="1"/>
  <c r="A84" i="24" s="1"/>
  <c r="A125" i="24" s="1"/>
  <c r="A164" i="24" s="1"/>
  <c r="A45" i="10" l="1"/>
  <c r="A88" i="10" s="1"/>
  <c r="A131" i="10" s="1"/>
  <c r="A174" i="10" s="1"/>
  <c r="B18" i="15" l="1"/>
  <c r="J39" i="3" l="1"/>
  <c r="E13" i="14" l="1"/>
  <c r="B82" i="19" l="1"/>
  <c r="F22" i="23" l="1"/>
  <c r="D18" i="15" l="1"/>
  <c r="F18" i="15"/>
  <c r="K8" i="6" l="1"/>
  <c r="K28" i="25" l="1"/>
  <c r="K32" i="6" l="1"/>
  <c r="F25" i="23" l="1"/>
  <c r="M20" i="12" l="1"/>
  <c r="H93" i="19" l="1"/>
  <c r="I90" i="19"/>
  <c r="I89" i="19"/>
  <c r="I88" i="19"/>
  <c r="I87" i="19"/>
  <c r="G94" i="19"/>
  <c r="G96" i="19" l="1"/>
  <c r="AC19" i="7" l="1"/>
  <c r="K23" i="6" l="1"/>
  <c r="B198" i="11" l="1"/>
  <c r="B38" i="4" l="1"/>
  <c r="E36" i="3" l="1"/>
  <c r="E34" i="3"/>
  <c r="E35" i="3"/>
  <c r="B13" i="3"/>
  <c r="F192" i="24" l="1"/>
  <c r="N31" i="4" l="1"/>
  <c r="J18" i="15"/>
  <c r="J22" i="15" s="1"/>
  <c r="H18" i="15"/>
  <c r="F27" i="23" l="1"/>
  <c r="F26" i="23"/>
  <c r="F24" i="23"/>
  <c r="F23" i="23"/>
  <c r="N29" i="4" l="1"/>
  <c r="B31" i="3"/>
  <c r="E9" i="4" l="1"/>
  <c r="D29" i="23" l="1"/>
  <c r="B176" i="10" l="1"/>
  <c r="B203" i="10" s="1"/>
  <c r="L176" i="10"/>
  <c r="L203" i="10" s="1"/>
  <c r="K176" i="10"/>
  <c r="K203" i="10" s="1"/>
  <c r="J176" i="10"/>
  <c r="J203" i="10" s="1"/>
  <c r="H176" i="10"/>
  <c r="H203" i="10" s="1"/>
  <c r="G176" i="10"/>
  <c r="G203" i="10" s="1"/>
  <c r="F176" i="10"/>
  <c r="F203" i="10" s="1"/>
  <c r="E176" i="10"/>
  <c r="E203" i="10" s="1"/>
  <c r="C176" i="10"/>
  <c r="C203" i="10" s="1"/>
  <c r="F20" i="32" l="1"/>
  <c r="B20" i="32"/>
  <c r="B24" i="32" s="1"/>
  <c r="A54" i="25" l="1"/>
  <c r="B192" i="24"/>
  <c r="A48" i="19"/>
  <c r="S4" i="4"/>
  <c r="S3" i="4"/>
  <c r="L20" i="32" l="1"/>
  <c r="L24" i="32" s="1"/>
  <c r="J20" i="32"/>
  <c r="J24" i="32" s="1"/>
  <c r="I20" i="32"/>
  <c r="I24" i="32" s="1"/>
  <c r="H20" i="32"/>
  <c r="H24" i="32" s="1"/>
  <c r="F24" i="32"/>
  <c r="D20" i="32"/>
  <c r="D24" i="32" s="1"/>
  <c r="C20" i="32"/>
  <c r="C24" i="32" s="1"/>
  <c r="B18" i="4" l="1"/>
  <c r="B40" i="4" l="1"/>
  <c r="O19" i="17" l="1"/>
  <c r="K15" i="6"/>
  <c r="E6" i="3" l="1"/>
  <c r="I85" i="19" l="1"/>
  <c r="I54" i="19"/>
  <c r="I55" i="19"/>
  <c r="I56" i="19"/>
  <c r="I53" i="19"/>
  <c r="I45" i="19"/>
  <c r="I52" i="19"/>
  <c r="I84" i="19"/>
  <c r="I83" i="19"/>
  <c r="I82" i="19"/>
  <c r="I80" i="19"/>
  <c r="I79" i="19"/>
  <c r="I78" i="19"/>
  <c r="I77" i="19"/>
  <c r="I76" i="19"/>
  <c r="I74" i="19"/>
  <c r="I73" i="19"/>
  <c r="I72" i="19"/>
  <c r="I71" i="19"/>
  <c r="I70" i="19"/>
  <c r="I68" i="19"/>
  <c r="I67" i="19"/>
  <c r="I66" i="19"/>
  <c r="I65" i="19"/>
  <c r="I64" i="19"/>
  <c r="I62" i="19"/>
  <c r="I61" i="19"/>
  <c r="I60" i="19"/>
  <c r="I59" i="19"/>
  <c r="I58" i="19"/>
  <c r="I46" i="19"/>
  <c r="I44" i="19"/>
  <c r="I43" i="19"/>
  <c r="I42" i="19"/>
  <c r="I40" i="19"/>
  <c r="I39" i="19"/>
  <c r="I38" i="19"/>
  <c r="I37" i="19"/>
  <c r="I36" i="19"/>
  <c r="I34" i="19"/>
  <c r="I33" i="19"/>
  <c r="I32" i="19"/>
  <c r="I31" i="19"/>
  <c r="I30" i="19"/>
  <c r="I28" i="19"/>
  <c r="I27" i="19"/>
  <c r="I26" i="19"/>
  <c r="I25" i="19"/>
  <c r="I24" i="19"/>
  <c r="I22" i="19"/>
  <c r="I21" i="19"/>
  <c r="I20" i="19"/>
  <c r="I19" i="19"/>
  <c r="I18" i="19"/>
  <c r="I13" i="19"/>
  <c r="I14" i="19"/>
  <c r="I15" i="19"/>
  <c r="I16" i="19"/>
  <c r="I12" i="19"/>
  <c r="I8" i="19"/>
  <c r="I9" i="19"/>
  <c r="I10" i="19"/>
  <c r="I7" i="19"/>
  <c r="I6" i="19"/>
  <c r="D92" i="19"/>
  <c r="D90" i="19"/>
  <c r="D91" i="19"/>
  <c r="D89" i="19"/>
  <c r="D88" i="19"/>
  <c r="D54" i="19"/>
  <c r="D55" i="19"/>
  <c r="D56" i="19"/>
  <c r="D53" i="19"/>
  <c r="D52" i="19"/>
  <c r="D80" i="19"/>
  <c r="D79" i="19"/>
  <c r="D78" i="19"/>
  <c r="D77" i="19"/>
  <c r="D76" i="19"/>
  <c r="D74" i="19"/>
  <c r="D73" i="19"/>
  <c r="D72" i="19"/>
  <c r="D71" i="19"/>
  <c r="D70" i="19"/>
  <c r="D68" i="19"/>
  <c r="D67" i="19"/>
  <c r="D66" i="19"/>
  <c r="D65" i="19"/>
  <c r="D64" i="19"/>
  <c r="D62" i="19"/>
  <c r="D61" i="19"/>
  <c r="D60" i="19"/>
  <c r="D59" i="19"/>
  <c r="D58" i="19"/>
  <c r="D46" i="19"/>
  <c r="D45" i="19"/>
  <c r="D44" i="19"/>
  <c r="D43" i="19"/>
  <c r="D42" i="19"/>
  <c r="D40" i="19"/>
  <c r="D39" i="19"/>
  <c r="D38" i="19"/>
  <c r="D37" i="19"/>
  <c r="D36" i="19"/>
  <c r="D34" i="19"/>
  <c r="D33" i="19"/>
  <c r="D32" i="19"/>
  <c r="D31" i="19"/>
  <c r="D30" i="19"/>
  <c r="D28" i="19"/>
  <c r="D27" i="19"/>
  <c r="D26" i="19"/>
  <c r="D25" i="19"/>
  <c r="D24" i="19"/>
  <c r="D22" i="19"/>
  <c r="D21" i="19"/>
  <c r="D20" i="19"/>
  <c r="D19" i="19"/>
  <c r="D18" i="19"/>
  <c r="D13" i="19"/>
  <c r="D14" i="19"/>
  <c r="D15" i="19"/>
  <c r="D16" i="19"/>
  <c r="D12" i="19"/>
  <c r="D7" i="19"/>
  <c r="I93" i="19" l="1"/>
  <c r="E33" i="18"/>
  <c r="H22" i="15" l="1"/>
  <c r="S39" i="12"/>
  <c r="L90" i="10" l="1"/>
  <c r="K90" i="10"/>
  <c r="J90" i="10"/>
  <c r="O18" i="17" l="1"/>
  <c r="K101" i="25" l="1"/>
  <c r="H23" i="25"/>
  <c r="E15" i="4" l="1"/>
  <c r="H94" i="19"/>
  <c r="D82" i="19" l="1"/>
  <c r="C18" i="4"/>
  <c r="C40" i="4" l="1"/>
  <c r="C11" i="3"/>
  <c r="C16" i="3" s="1"/>
  <c r="E18" i="4"/>
  <c r="C13" i="3" l="1"/>
  <c r="C41" i="3" s="1"/>
  <c r="L22" i="15"/>
  <c r="C18" i="3" l="1"/>
  <c r="E18" i="3" s="1"/>
  <c r="D34" i="8"/>
  <c r="E34" i="6" l="1"/>
  <c r="S31" i="12" l="1"/>
  <c r="F20" i="12"/>
  <c r="D20" i="12"/>
  <c r="C20" i="12"/>
  <c r="P30" i="3" l="1"/>
  <c r="Q30" i="3" s="1"/>
  <c r="P32" i="3" l="1"/>
  <c r="Q32" i="3" s="1"/>
  <c r="C31" i="3"/>
  <c r="O17" i="17" l="1"/>
  <c r="K9" i="6" l="1"/>
  <c r="K10" i="6"/>
  <c r="K11" i="6"/>
  <c r="K12" i="6"/>
  <c r="K13" i="6"/>
  <c r="K14" i="6"/>
  <c r="K16" i="6"/>
  <c r="K17" i="6"/>
  <c r="K18" i="6"/>
  <c r="K19" i="6"/>
  <c r="K20" i="6"/>
  <c r="K21" i="6"/>
  <c r="K22" i="6"/>
  <c r="K24" i="6"/>
  <c r="K26" i="6"/>
  <c r="K27" i="6"/>
  <c r="K28" i="6"/>
  <c r="K29" i="6"/>
  <c r="K30" i="6"/>
  <c r="K31" i="6"/>
  <c r="J34" i="6" l="1"/>
  <c r="Q29" i="3" l="1"/>
  <c r="P31" i="3" l="1"/>
  <c r="Q31" i="3" s="1"/>
  <c r="Q33" i="3" s="1"/>
  <c r="E35" i="7" l="1"/>
  <c r="AC21" i="7" s="1"/>
  <c r="F35" i="7"/>
  <c r="AC20" i="7" s="1"/>
  <c r="E192" i="24" l="1"/>
  <c r="F193" i="24" l="1"/>
  <c r="F195" i="24" l="1"/>
  <c r="E193" i="24" l="1"/>
  <c r="E195" i="24" s="1"/>
  <c r="E136" i="24"/>
  <c r="S38" i="12" l="1"/>
  <c r="R32" i="12"/>
  <c r="R33" i="12"/>
  <c r="R34" i="12"/>
  <c r="R35" i="12"/>
  <c r="R36" i="12"/>
  <c r="R37" i="12"/>
  <c r="R38" i="12"/>
  <c r="R39" i="12"/>
  <c r="R40" i="12"/>
  <c r="R31" i="12"/>
  <c r="N30" i="4" l="1"/>
  <c r="N32" i="4" s="1"/>
  <c r="O29" i="4" l="1"/>
  <c r="D193" i="24"/>
  <c r="C193" i="24"/>
  <c r="B193" i="24"/>
  <c r="B195" i="24" s="1"/>
  <c r="D192" i="24"/>
  <c r="C192" i="24"/>
  <c r="D136" i="24"/>
  <c r="C136" i="24"/>
  <c r="B136" i="24"/>
  <c r="C33" i="18"/>
  <c r="C195" i="24" l="1"/>
  <c r="D195" i="24"/>
  <c r="A3" i="10"/>
  <c r="I176" i="10" l="1"/>
  <c r="D176" i="10"/>
  <c r="L133" i="10"/>
  <c r="K133" i="10"/>
  <c r="J133" i="10"/>
  <c r="I133" i="10"/>
  <c r="H133" i="10"/>
  <c r="G133" i="10"/>
  <c r="F133" i="10"/>
  <c r="E133" i="10"/>
  <c r="D133" i="10"/>
  <c r="C133" i="10"/>
  <c r="B133" i="10"/>
  <c r="I90" i="10"/>
  <c r="H90" i="10"/>
  <c r="G90" i="10"/>
  <c r="F90" i="10"/>
  <c r="E90" i="10"/>
  <c r="D90" i="10"/>
  <c r="C90" i="10"/>
  <c r="B90" i="10"/>
  <c r="L47" i="10"/>
  <c r="K47" i="10"/>
  <c r="J47" i="10"/>
  <c r="I47" i="10"/>
  <c r="H47" i="10"/>
  <c r="G47" i="10"/>
  <c r="F47" i="10"/>
  <c r="E47" i="10"/>
  <c r="D47" i="10"/>
  <c r="C47" i="10"/>
  <c r="B47" i="10"/>
  <c r="A46" i="10"/>
  <c r="A89" i="10" s="1"/>
  <c r="A132" i="10" s="1"/>
  <c r="A175" i="10" s="1"/>
  <c r="F16" i="23"/>
  <c r="H144" i="10" l="1"/>
  <c r="H204" i="10" s="1"/>
  <c r="H207" i="10" s="1"/>
  <c r="L144" i="10"/>
  <c r="L204" i="10" s="1"/>
  <c r="L207" i="10" s="1"/>
  <c r="C144" i="10"/>
  <c r="C204" i="10" s="1"/>
  <c r="C207" i="10" s="1"/>
  <c r="G144" i="10"/>
  <c r="G204" i="10" s="1"/>
  <c r="G207" i="10" s="1"/>
  <c r="K144" i="10"/>
  <c r="K204" i="10" s="1"/>
  <c r="K207" i="10" s="1"/>
  <c r="B144" i="10"/>
  <c r="F144" i="10"/>
  <c r="F204" i="10" s="1"/>
  <c r="F207" i="10" s="1"/>
  <c r="J144" i="10"/>
  <c r="J204" i="10" s="1"/>
  <c r="J207" i="10" s="1"/>
  <c r="E144" i="10"/>
  <c r="E204" i="10" s="1"/>
  <c r="E207" i="10" s="1"/>
  <c r="B204" i="10" l="1"/>
  <c r="B207" i="10" s="1"/>
  <c r="A3" i="11"/>
  <c r="F22" i="15"/>
  <c r="K102" i="25"/>
  <c r="A3" i="8" l="1"/>
  <c r="I34" i="8"/>
  <c r="E34" i="8"/>
  <c r="F41" i="8" s="1"/>
  <c r="F34" i="8"/>
  <c r="F42" i="8" s="1"/>
  <c r="G34" i="8"/>
  <c r="F39" i="8" s="1"/>
  <c r="H34" i="8"/>
  <c r="F40" i="8" s="1"/>
  <c r="F34" i="6"/>
  <c r="G34" i="6"/>
  <c r="I34" i="6"/>
  <c r="K34" i="6" s="1"/>
  <c r="E36" i="4"/>
  <c r="E35" i="4"/>
  <c r="E34" i="4"/>
  <c r="E33" i="4"/>
  <c r="E32" i="4"/>
  <c r="E31" i="4"/>
  <c r="E30" i="4"/>
  <c r="E29" i="4"/>
  <c r="E28" i="4"/>
  <c r="E27" i="4"/>
  <c r="E26" i="4"/>
  <c r="E25" i="4"/>
  <c r="E24" i="4"/>
  <c r="E23" i="4"/>
  <c r="E13" i="4"/>
  <c r="E12" i="4"/>
  <c r="E11" i="4"/>
  <c r="E8" i="4"/>
  <c r="S37" i="12"/>
  <c r="S36" i="12"/>
  <c r="S35" i="12"/>
  <c r="S34" i="12"/>
  <c r="S33" i="12"/>
  <c r="S32" i="12"/>
  <c r="G198" i="11"/>
  <c r="F198" i="11"/>
  <c r="E198" i="11"/>
  <c r="D198" i="11"/>
  <c r="C198" i="11"/>
  <c r="G140" i="11"/>
  <c r="G199" i="11" s="1"/>
  <c r="F140" i="11"/>
  <c r="F199" i="11" s="1"/>
  <c r="E140" i="11"/>
  <c r="E199" i="11" s="1"/>
  <c r="D140" i="11"/>
  <c r="D199" i="11" s="1"/>
  <c r="C140" i="11"/>
  <c r="C199" i="11" s="1"/>
  <c r="B140" i="11"/>
  <c r="B199" i="11" s="1"/>
  <c r="B202" i="11" s="1"/>
  <c r="A129" i="11"/>
  <c r="C82" i="19"/>
  <c r="D10" i="19"/>
  <c r="D9" i="19"/>
  <c r="D8" i="19"/>
  <c r="K103" i="25"/>
  <c r="K105" i="25" s="1"/>
  <c r="O12" i="17"/>
  <c r="O14" i="17"/>
  <c r="B39" i="3"/>
  <c r="A87" i="11"/>
  <c r="A171" i="11"/>
  <c r="A45" i="11"/>
  <c r="F43" i="8" l="1"/>
  <c r="G202" i="11"/>
  <c r="F202" i="11"/>
  <c r="B41" i="3"/>
  <c r="G39" i="8"/>
  <c r="E202" i="11"/>
  <c r="I94" i="19"/>
  <c r="I96" i="19" s="1"/>
  <c r="D202" i="11"/>
  <c r="C202" i="11"/>
  <c r="O11" i="17"/>
  <c r="O16" i="17"/>
  <c r="O15" i="17"/>
  <c r="E12" i="3"/>
  <c r="AC22" i="7"/>
  <c r="AD19" i="7" s="1"/>
  <c r="G42" i="8" l="1"/>
  <c r="G40" i="8"/>
  <c r="G43" i="8" s="1"/>
  <c r="G41" i="8"/>
  <c r="E16" i="3"/>
  <c r="E11" i="3"/>
  <c r="E40" i="4"/>
  <c r="O32" i="4"/>
  <c r="AD21" i="7"/>
  <c r="AD20" i="7"/>
  <c r="O31" i="4" l="1"/>
  <c r="O30" i="4"/>
  <c r="E13" i="3"/>
  <c r="AD22" i="7"/>
</calcChain>
</file>

<file path=xl/sharedStrings.xml><?xml version="1.0" encoding="utf-8"?>
<sst xmlns="http://schemas.openxmlformats.org/spreadsheetml/2006/main" count="3089" uniqueCount="1204">
  <si>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</si>
  <si>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</si>
  <si>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</si>
  <si>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</si>
  <si>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</si>
  <si>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</si>
  <si>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</si>
  <si>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</si>
  <si>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</si>
  <si>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</si>
  <si>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</si>
  <si>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</si>
  <si>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</si>
  <si>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</si>
  <si>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</si>
  <si>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</si>
  <si>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Administrative and Support Services</t>
  </si>
  <si>
    <t>Total</t>
  </si>
  <si>
    <t>Cost per $100 of collections</t>
  </si>
  <si>
    <t>Note: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</si>
  <si>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</si>
  <si>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</si>
  <si>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</si>
  <si>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</si>
  <si>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</si>
  <si>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</si>
  <si>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</si>
  <si>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</si>
  <si>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</si>
  <si>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</si>
  <si>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</si>
  <si>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</si>
  <si>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</si>
  <si>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Fiscal Year</t>
  </si>
  <si>
    <t>Table 2.2</t>
  </si>
  <si>
    <t>Number of Corporate Returns, Taxable Income, and Tax Liability</t>
  </si>
  <si>
    <t>Reported Taxable Income</t>
  </si>
  <si>
    <t>Percent of</t>
  </si>
  <si>
    <t>Taxable</t>
  </si>
  <si>
    <t xml:space="preserve">Tax </t>
  </si>
  <si>
    <t>From Virginia Sources</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</si>
  <si>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</si>
  <si>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</si>
  <si>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</si>
  <si>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</si>
  <si>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</si>
  <si>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</si>
  <si>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</si>
  <si>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</si>
  <si>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</si>
  <si>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</si>
  <si>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</si>
  <si>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</si>
  <si>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</si>
  <si>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3. Some columns may not match totals due to rounding.</t>
  </si>
  <si>
    <t>4. If a corporation reports a negative taxable income, its taxable income is treated as zero in this table.</t>
  </si>
  <si>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</si>
  <si>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</si>
  <si>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</si>
  <si>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</si>
  <si>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</si>
  <si>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</si>
  <si>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</si>
  <si>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</si>
  <si>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</si>
  <si>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</si>
  <si>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</si>
  <si>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</si>
  <si>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</si>
  <si>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</si>
  <si>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</si>
  <si>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</si>
  <si>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</si>
  <si>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</si>
  <si>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</si>
  <si>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</si>
  <si>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</si>
  <si>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</si>
  <si>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</si>
  <si>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</si>
  <si>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</si>
  <si>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</si>
  <si>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</si>
  <si>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</si>
  <si>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</si>
  <si>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</si>
  <si>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</si>
  <si>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</si>
  <si>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</si>
  <si>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</si>
  <si>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</si>
  <si>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</si>
  <si>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</si>
  <si>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</si>
  <si>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</si>
  <si>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</si>
  <si>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</si>
  <si>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</si>
  <si>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</si>
  <si>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</si>
  <si>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</si>
  <si>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</si>
  <si>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</si>
  <si>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</si>
  <si>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</si>
  <si>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</si>
  <si>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</si>
  <si>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</si>
  <si>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</si>
  <si>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</si>
  <si>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</si>
  <si>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</si>
  <si>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</si>
  <si>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</si>
  <si>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</si>
  <si>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</si>
  <si>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</si>
  <si>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</si>
  <si>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</si>
  <si>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</si>
  <si>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</si>
  <si>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</si>
  <si>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</si>
  <si>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</si>
  <si>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</si>
  <si>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</si>
  <si>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</si>
  <si>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</si>
  <si>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</si>
  <si>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</si>
  <si>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</si>
  <si>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</si>
  <si>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</si>
  <si>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</si>
  <si>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</si>
  <si>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</si>
  <si>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</si>
  <si>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</si>
  <si>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</si>
  <si>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</si>
  <si>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</si>
  <si>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</si>
  <si>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</si>
  <si>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</si>
  <si>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</si>
  <si>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</si>
  <si>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</si>
  <si>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</si>
  <si>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</si>
  <si>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</si>
  <si>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</si>
  <si>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</si>
  <si>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</si>
  <si>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</si>
  <si>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</si>
  <si>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</si>
  <si>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</si>
  <si>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</si>
  <si>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</si>
  <si>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</si>
  <si>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</si>
  <si>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</si>
  <si>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</si>
  <si>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</si>
  <si>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</si>
  <si>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</si>
  <si>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</si>
  <si>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</si>
  <si>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</si>
  <si>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</si>
  <si>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</si>
  <si>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</si>
  <si>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</si>
  <si>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</si>
  <si>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</si>
  <si>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</si>
  <si>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</si>
  <si>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</si>
  <si>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</si>
  <si>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</si>
  <si>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</si>
  <si>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</si>
  <si>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</si>
  <si>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</si>
  <si>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</si>
  <si>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</si>
  <si>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</si>
  <si>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</si>
  <si>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</si>
  <si>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</si>
  <si>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</si>
  <si>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</si>
  <si>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</si>
  <si>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</si>
  <si>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</si>
  <si>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</si>
  <si>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</si>
  <si>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</si>
  <si>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</si>
  <si>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</si>
  <si>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</si>
  <si>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</si>
  <si>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</si>
  <si>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</si>
  <si>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</si>
  <si>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</si>
  <si>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</si>
  <si>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</si>
  <si>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Estate</t>
  </si>
  <si>
    <t>Watercraft</t>
  </si>
  <si>
    <t>Rolling</t>
  </si>
  <si>
    <t>&amp; Deeds</t>
  </si>
  <si>
    <t>&amp; Wills</t>
  </si>
  <si>
    <t>Excise</t>
  </si>
  <si>
    <t>Stock Tax</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</si>
  <si>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</si>
  <si>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</si>
  <si>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</si>
  <si>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</si>
  <si>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</si>
  <si>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</si>
  <si>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</si>
  <si>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</si>
  <si>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</si>
  <si>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</si>
  <si>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</si>
  <si>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</si>
  <si>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</si>
  <si>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</si>
  <si>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</si>
  <si>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</si>
  <si>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</si>
  <si>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</si>
  <si>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</si>
  <si>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</si>
  <si>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</si>
  <si>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</si>
  <si>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</si>
  <si>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</si>
  <si>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</si>
  <si>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</si>
  <si>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</si>
  <si>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</si>
  <si>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</si>
  <si>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</si>
  <si>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</si>
  <si>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</si>
  <si>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</si>
  <si>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</si>
  <si>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</si>
  <si>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</si>
  <si>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</si>
  <si>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</si>
  <si>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</si>
  <si>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</si>
  <si>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</si>
  <si>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</si>
  <si>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</si>
  <si>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</si>
  <si>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</si>
  <si>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</si>
  <si>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</si>
  <si>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</si>
  <si>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</si>
  <si>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</si>
  <si>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</si>
  <si>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</si>
  <si>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</si>
  <si>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</si>
  <si>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</si>
  <si>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</si>
  <si>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</si>
  <si>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</si>
  <si>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</si>
  <si>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</si>
  <si>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</si>
  <si>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</si>
  <si>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</si>
  <si>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</si>
  <si>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</si>
  <si>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</si>
  <si>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</si>
  <si>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</si>
  <si>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</si>
  <si>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</si>
  <si>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</si>
  <si>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</si>
  <si>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</si>
  <si>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</si>
  <si>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</si>
  <si>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</si>
  <si>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</si>
  <si>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</si>
  <si>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</si>
  <si>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</si>
  <si>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</si>
  <si>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</si>
  <si>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</si>
  <si>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</si>
  <si>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</si>
  <si>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</si>
  <si>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</si>
  <si>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</si>
  <si>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</si>
  <si>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</si>
  <si>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</si>
  <si>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</si>
  <si>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</si>
  <si>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</si>
  <si>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</si>
  <si>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</si>
  <si>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</si>
  <si>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</si>
  <si>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</si>
  <si>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Table 4.3</t>
  </si>
  <si>
    <t>Neighborhood Assistance Act Credit</t>
  </si>
  <si>
    <t>Historic Rehabilitation Tax Credit</t>
  </si>
  <si>
    <t>Table 5.1</t>
  </si>
  <si>
    <t>Table 5.2</t>
  </si>
  <si>
    <t>Table 5.2, continued</t>
  </si>
  <si>
    <t>Directory</t>
  </si>
  <si>
    <t>Virginia Department of Taxation</t>
  </si>
  <si>
    <t>on the University of Virginia's Weldon Cooper Center for</t>
  </si>
  <si>
    <t>Public Service (CPS) website at</t>
  </si>
  <si>
    <t>General Mailing Address</t>
  </si>
  <si>
    <t>Office of Tax Policy, Policy Development Division</t>
  </si>
  <si>
    <t>Internet: http://www.tax.virginia.gov</t>
  </si>
  <si>
    <t>ANNUAL REPORT</t>
  </si>
  <si>
    <t>Report of the Tax Commissioner</t>
  </si>
  <si>
    <t>to the Governor of the Commonwealth of Virginia</t>
  </si>
  <si>
    <t>Craig M. Burns, Tax Commissioner</t>
  </si>
  <si>
    <t>Apple</t>
  </si>
  <si>
    <t>Cotton</t>
  </si>
  <si>
    <t>Sheep</t>
  </si>
  <si>
    <t>Yr/Yr</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</si>
  <si>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</si>
  <si>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</si>
  <si>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</si>
  <si>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</si>
  <si>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</si>
  <si>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</si>
  <si>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</si>
  <si>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</si>
  <si>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</si>
  <si>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</si>
  <si>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</si>
  <si>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</si>
  <si>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</si>
  <si>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</si>
  <si>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</si>
  <si>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</si>
  <si>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</si>
  <si>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</si>
  <si>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</si>
  <si>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</si>
  <si>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</si>
  <si>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</si>
  <si>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</si>
  <si>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</si>
  <si>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</si>
  <si>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</si>
  <si>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</si>
  <si>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</si>
  <si>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</si>
  <si>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</si>
  <si>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</si>
  <si>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</si>
  <si>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</si>
  <si>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</si>
  <si>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</si>
  <si>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</si>
  <si>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</si>
  <si>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</si>
  <si>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</si>
  <si>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</si>
  <si>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</si>
  <si>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</si>
  <si>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</si>
  <si>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</si>
  <si>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</si>
  <si>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</si>
  <si>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</si>
  <si>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</si>
  <si>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</si>
  <si>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</si>
  <si>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</si>
  <si>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</si>
  <si>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</si>
  <si>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</si>
  <si>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</si>
  <si>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</si>
  <si>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</si>
  <si>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</si>
  <si>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</si>
  <si>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</si>
  <si>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</si>
  <si>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</si>
  <si>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</si>
  <si>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</si>
  <si>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</si>
  <si>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</si>
  <si>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</si>
  <si>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</si>
  <si>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Number of</t>
  </si>
  <si>
    <t>Returns</t>
  </si>
  <si>
    <t>Table 1.2</t>
  </si>
  <si>
    <t>Itemized</t>
  </si>
  <si>
    <t>Standard</t>
  </si>
  <si>
    <t>Average</t>
  </si>
  <si>
    <t>Total Adjusted</t>
  </si>
  <si>
    <t>Exemptions</t>
  </si>
  <si>
    <t>Deductions</t>
  </si>
  <si>
    <t xml:space="preserve">Deductions </t>
  </si>
  <si>
    <t>Total Taxable</t>
  </si>
  <si>
    <t>Total Tax</t>
  </si>
  <si>
    <t>Gross Income</t>
  </si>
  <si>
    <t>Claimed ($)</t>
  </si>
  <si>
    <t>Liability</t>
  </si>
  <si>
    <t>Rate</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</si>
  <si>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</si>
  <si>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</si>
  <si>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</si>
  <si>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</si>
  <si>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</si>
  <si>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</si>
  <si>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</si>
  <si>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</si>
  <si>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</si>
  <si>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</si>
  <si>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</si>
  <si>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</si>
  <si>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</si>
  <si>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</si>
  <si>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</si>
  <si>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</si>
  <si>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</si>
  <si>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</si>
  <si>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</si>
  <si>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</si>
  <si>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</si>
  <si>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</si>
  <si>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</si>
  <si>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</si>
  <si>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</si>
  <si>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</si>
  <si>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</si>
  <si>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</si>
  <si>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</si>
  <si>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</si>
  <si>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</si>
  <si>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</si>
  <si>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</si>
  <si>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</si>
  <si>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</si>
  <si>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</si>
  <si>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</si>
  <si>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</si>
  <si>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</si>
  <si>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</si>
  <si>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</si>
  <si>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</si>
  <si>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</si>
  <si>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</si>
  <si>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</si>
  <si>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</si>
  <si>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</si>
  <si>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</si>
  <si>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</si>
  <si>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</si>
  <si>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</si>
  <si>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</si>
  <si>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</si>
  <si>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</si>
  <si>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</si>
  <si>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</si>
  <si>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</si>
  <si>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</si>
  <si>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</si>
  <si>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</si>
  <si>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</si>
  <si>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</si>
  <si>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</si>
  <si>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</si>
  <si>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</si>
  <si>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</si>
  <si>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</si>
  <si>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</si>
  <si>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</si>
  <si>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</si>
  <si>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</si>
  <si>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</si>
  <si>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</si>
  <si>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</si>
  <si>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</si>
  <si>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</si>
  <si>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</si>
  <si>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</si>
  <si>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</si>
  <si>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</si>
  <si>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</si>
  <si>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</si>
  <si>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</si>
  <si>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</si>
  <si>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</si>
  <si>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</si>
  <si>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</si>
  <si>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</si>
  <si>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</si>
  <si>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</si>
  <si>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</si>
  <si>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</si>
  <si>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</si>
  <si>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</si>
  <si>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</si>
  <si>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</si>
  <si>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</si>
  <si>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</si>
  <si>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</si>
  <si>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</si>
  <si>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</si>
  <si>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</si>
  <si>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</si>
  <si>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</si>
  <si>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</si>
  <si>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</si>
  <si>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</si>
  <si>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</si>
  <si>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</si>
  <si>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</si>
  <si>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</si>
  <si>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</si>
  <si>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</si>
  <si>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</si>
  <si>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</si>
  <si>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</si>
  <si>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</si>
  <si>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</si>
  <si>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</si>
  <si>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</si>
  <si>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</si>
  <si>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</si>
  <si>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</si>
  <si>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</si>
  <si>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</si>
  <si>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</si>
  <si>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</si>
  <si>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</si>
  <si>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</si>
  <si>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</si>
  <si>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</si>
  <si>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</si>
  <si>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</si>
  <si>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</si>
  <si>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</si>
  <si>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</si>
  <si>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</si>
  <si>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</si>
  <si>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</si>
  <si>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</si>
  <si>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</si>
  <si>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</si>
  <si>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</si>
  <si>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</si>
  <si>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</si>
  <si>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</si>
  <si>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</si>
  <si>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</si>
  <si>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</si>
  <si>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</si>
  <si>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</si>
  <si>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</si>
  <si>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</si>
  <si>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</si>
  <si>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</si>
  <si>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</si>
  <si>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</si>
  <si>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</si>
  <si>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</si>
  <si>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</si>
  <si>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</si>
  <si>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</si>
  <si>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</si>
  <si>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</si>
  <si>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</si>
  <si>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</si>
  <si>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</si>
  <si>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</si>
  <si>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</si>
  <si>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</si>
  <si>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</si>
  <si>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</si>
  <si>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</si>
  <si>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</si>
  <si>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</si>
  <si>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</si>
  <si>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</si>
  <si>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</si>
  <si>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</si>
  <si>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</si>
  <si>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</si>
  <si>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</si>
  <si>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</si>
  <si>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</si>
  <si>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</si>
  <si>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</si>
  <si>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</si>
  <si>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</si>
  <si>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</si>
  <si>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</si>
  <si>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</si>
  <si>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</si>
  <si>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</si>
  <si>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</si>
  <si>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</si>
  <si>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</si>
  <si>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</si>
  <si>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</si>
  <si>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</si>
  <si>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</si>
  <si>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</si>
  <si>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</si>
  <si>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</si>
  <si>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</si>
  <si>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</si>
  <si>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</si>
  <si>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</si>
  <si>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</si>
  <si>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</si>
  <si>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</si>
  <si>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</si>
  <si>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</si>
  <si>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</si>
  <si>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</si>
  <si>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</si>
  <si>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</si>
  <si>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</si>
  <si>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</si>
  <si>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</si>
  <si>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</si>
  <si>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</si>
  <si>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</si>
  <si>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</si>
  <si>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</si>
  <si>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</si>
  <si>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</si>
  <si>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</si>
  <si>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</si>
  <si>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</si>
  <si>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</si>
  <si>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</si>
  <si>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</si>
  <si>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</si>
  <si>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</si>
  <si>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</si>
  <si>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</si>
  <si>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</si>
  <si>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</si>
  <si>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</si>
  <si>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</si>
  <si>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</si>
  <si>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</si>
  <si>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</si>
  <si>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</si>
  <si>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</si>
  <si>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</si>
  <si>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</si>
  <si>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</si>
  <si>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</si>
  <si>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</si>
  <si>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</si>
  <si>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</si>
  <si>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</si>
  <si>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</si>
  <si>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</si>
  <si>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</si>
  <si>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</si>
  <si>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</si>
  <si>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</si>
  <si>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</si>
  <si>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</si>
  <si>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</si>
  <si>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</si>
  <si>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</si>
  <si>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</si>
  <si>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</si>
  <si>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</si>
  <si>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</si>
  <si>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</si>
  <si>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</si>
  <si>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</si>
  <si>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</si>
  <si>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</si>
  <si>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</si>
  <si>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</si>
  <si>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</si>
  <si>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</si>
  <si>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</si>
  <si>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</si>
  <si>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</si>
  <si>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</si>
  <si>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</si>
  <si>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</si>
  <si>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</si>
  <si>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</si>
  <si>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</si>
  <si>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</si>
  <si>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</si>
  <si>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</si>
  <si>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</si>
  <si>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</si>
  <si>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</si>
  <si>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</si>
  <si>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</si>
  <si>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</si>
  <si>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</si>
  <si>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</si>
  <si>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</si>
  <si>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</si>
  <si>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</si>
  <si>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</si>
  <si>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</si>
  <si>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</si>
  <si>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</si>
  <si>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</si>
  <si>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</si>
  <si>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</si>
  <si>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</si>
  <si>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</si>
  <si>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</si>
  <si>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</si>
  <si>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</si>
  <si>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</si>
  <si>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</si>
  <si>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</si>
  <si>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</si>
  <si>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</si>
  <si>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</si>
  <si>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</si>
  <si>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</si>
  <si>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</si>
  <si>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</si>
  <si>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</si>
  <si>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</si>
  <si>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</si>
  <si>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</si>
  <si>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</si>
  <si>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</si>
  <si>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</si>
  <si>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</si>
  <si>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</si>
  <si>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</si>
  <si>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</si>
  <si>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</si>
  <si>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</si>
  <si>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</si>
  <si>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</si>
  <si>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</si>
  <si>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</si>
  <si>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</si>
  <si>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</si>
  <si>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</si>
  <si>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</si>
  <si>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</si>
  <si>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</si>
  <si>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</si>
  <si>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</si>
  <si>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</si>
  <si>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</si>
  <si>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</si>
  <si>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</si>
  <si>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</si>
  <si>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</si>
  <si>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</si>
  <si>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Spay and Neuter Fund</t>
  </si>
  <si>
    <t>Virginia Federation of Humane Societies</t>
  </si>
  <si>
    <t>Cancer Centers</t>
  </si>
  <si>
    <t>Virginia Military Family Relief Fund</t>
  </si>
  <si>
    <t>Public Libraries Foundations</t>
  </si>
  <si>
    <t>1. Taxpayers may make voluntary contributions to qualifying organizations from their tax refunds or, for some organizations, tax payments.  If the contribution exceeds an expected refund, it increases the amount of the tax payment.</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</si>
  <si>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</si>
  <si>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</si>
  <si>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</si>
  <si>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</si>
  <si>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</si>
  <si>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</si>
  <si>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</si>
  <si>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</si>
  <si>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</si>
  <si>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</si>
  <si>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</si>
  <si>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</si>
  <si>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</si>
  <si>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</si>
  <si>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</si>
  <si>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</si>
  <si>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</si>
  <si>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</si>
  <si>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</si>
  <si>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</si>
  <si>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</si>
  <si>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</si>
  <si>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</si>
  <si>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</si>
  <si>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</si>
  <si>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</si>
  <si>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</si>
  <si>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</si>
  <si>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</si>
  <si>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</si>
  <si>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</si>
  <si>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Table 6.1</t>
  </si>
  <si>
    <t>Table of Contents</t>
  </si>
  <si>
    <t xml:space="preserve">Net Revenue Collections and Expenditures                                                                </t>
  </si>
  <si>
    <t xml:space="preserve">Individual Income Tax Liability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</si>
  <si>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</si>
  <si>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</si>
  <si>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</si>
  <si>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Net Taxable Income, Amount Taxed at Each Tax Rate, Total Income Tax Liability by Locality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</si>
  <si>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</si>
  <si>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</si>
  <si>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</si>
  <si>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</si>
  <si>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</si>
  <si>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</si>
  <si>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</si>
  <si>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</si>
  <si>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</si>
  <si>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</si>
  <si>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</si>
  <si>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Other State Taxes</t>
  </si>
  <si>
    <t xml:space="preserve">Other Taxes Net Revenue Collections - General Fund ……………………………………...……………………....………………….……………………………………………………………………….…………………..……………………………..                 </t>
  </si>
  <si>
    <t>5.3</t>
  </si>
  <si>
    <t>5.4</t>
  </si>
  <si>
    <t xml:space="preserve">Bank Franchise Tax Net Revenue Collections ……………………………………...……………………....………………….……………………………………………………………………….…………………..……………………………..                 </t>
  </si>
  <si>
    <t>5.5</t>
  </si>
  <si>
    <t xml:space="preserve">Recordation Tax and Deeds of Conveyance Revenue Collections by Locality ……………………………………...……………………....………………….……………………………………………………………………….…………………..……………………………..                 </t>
  </si>
  <si>
    <t>5.6</t>
  </si>
  <si>
    <t>2.  If a return was amended or audited during the fiscal year, only the additional credit amount (or reduction) is included.</t>
  </si>
  <si>
    <t>4.  A refundable tax credit is one which is not limited by the amount of the taxpayer's tax liability.</t>
  </si>
  <si>
    <t>§ 58.1-439.12:05</t>
  </si>
  <si>
    <t>Green Job Creation Tax Credit</t>
  </si>
  <si>
    <t>2010 (effective 2010)</t>
  </si>
  <si>
    <t>§ 58.1-439.12:04</t>
  </si>
  <si>
    <t>Tax Credit for Participating Landlords (Community of Opportunity)</t>
  </si>
  <si>
    <t>Rolling Stock Tax</t>
  </si>
  <si>
    <t>State Forests Fund</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</si>
  <si>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</si>
  <si>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</si>
  <si>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</si>
  <si>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</si>
  <si>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</si>
  <si>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</si>
  <si>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</si>
  <si>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</si>
  <si>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</si>
  <si>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</si>
  <si>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</si>
  <si>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</si>
  <si>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</si>
  <si>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1. The sales and use tax on aircraft and on watercraft are reported separately in Tables 5.1 and 5.2, respectively.</t>
  </si>
  <si>
    <t>Amount ($)</t>
  </si>
  <si>
    <t>State and Local Retail Sales &amp; Use  
Tax Expenditure Resulting From Purchases 
Made by Nonprofit Organizations</t>
  </si>
  <si>
    <t>§ 58.1-439.12:07</t>
  </si>
  <si>
    <t>Telework Expenses Tax Credit</t>
  </si>
  <si>
    <t>2011 (effective 2012)</t>
  </si>
  <si>
    <t>Wytheville</t>
  </si>
  <si>
    <r>
      <t>State Sales and Use Tax (TTF</t>
    </r>
    <r>
      <rPr>
        <sz val="12"/>
        <color indexed="8"/>
        <rFont val="Arial"/>
        <family val="2"/>
      </rPr>
      <t>)</t>
    </r>
  </si>
  <si>
    <t xml:space="preserve">Insurance Premiums </t>
  </si>
  <si>
    <t>License  Tax</t>
  </si>
  <si>
    <t>Franklin City</t>
  </si>
  <si>
    <t>Richmond City</t>
  </si>
  <si>
    <t>Roanoke City</t>
  </si>
  <si>
    <t>Bloxom</t>
  </si>
  <si>
    <t>Broadnax</t>
  </si>
  <si>
    <t>Stephens City</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</si>
  <si>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</si>
  <si>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</si>
  <si>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</si>
  <si>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</si>
  <si>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</si>
  <si>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</si>
  <si>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</si>
  <si>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</si>
  <si>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</si>
  <si>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</si>
  <si>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</si>
  <si>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</si>
  <si>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</si>
  <si>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</si>
  <si>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</si>
  <si>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</si>
  <si>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</si>
  <si>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</si>
  <si>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</si>
  <si>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</si>
  <si>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Other Taxes Net Revenue Collections - Non- General Fund</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</si>
  <si>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</si>
  <si>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</si>
  <si>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</si>
  <si>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</si>
  <si>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</si>
  <si>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</si>
  <si>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</si>
  <si>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</si>
  <si>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</si>
  <si>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</si>
  <si>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</si>
  <si>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</si>
  <si>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</si>
  <si>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Virginia Coal Employment and Production Incentive Tax Credit </t>
  </si>
  <si>
    <t>% used</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</si>
  <si>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</si>
  <si>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</si>
  <si>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</si>
  <si>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</si>
  <si>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</si>
  <si>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Taxable   </t>
  </si>
  <si>
    <t xml:space="preserve">Premium Income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</si>
  <si>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</si>
  <si>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</si>
  <si>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</si>
  <si>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</si>
  <si>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 xml:space="preserve">1. The administration and collection of Insurance Premiums License Tax was transferred from SCC's Bureau of Insurance to the Department of Taxation effective for taxable years beginning on or after January, 2013. </t>
  </si>
  <si>
    <t>Education Improvement Scholarships Tax Credit</t>
  </si>
  <si>
    <t xml:space="preserve">Amount </t>
  </si>
  <si>
    <t xml:space="preserve">Credit </t>
  </si>
  <si>
    <t>Neighborhood Assistance Act Tax Credit</t>
  </si>
  <si>
    <t>Individual, Corporate, Insurance and Bank</t>
  </si>
  <si>
    <t>§ 58.1-439.26</t>
  </si>
  <si>
    <t>Education Improvement Scholarships Tax Credits</t>
  </si>
  <si>
    <t>2012 (effective 2013)</t>
  </si>
  <si>
    <t>Bedford County</t>
  </si>
  <si>
    <t>Fairfax County</t>
  </si>
  <si>
    <t>Franklin County</t>
  </si>
  <si>
    <t>Isle Of Wight</t>
  </si>
  <si>
    <t>King And Queen</t>
  </si>
  <si>
    <t>Richmond County</t>
  </si>
  <si>
    <t>Roanoke County</t>
  </si>
  <si>
    <t>Retaliatory Cost Tax Credit (Refundable)</t>
  </si>
  <si>
    <t xml:space="preserve">*check if footnotes have changed </t>
  </si>
  <si>
    <t xml:space="preserve">Virginia College Saving Plan (Virginia 529) </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</si>
  <si>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Effective July 1, 2013, a regional congestion fee is imposed at the rate of $0.15 per $100 in the Northern Virginia Region. The figures stated above are net of refunds. </t>
  </si>
  <si>
    <t xml:space="preserve">check footnote </t>
  </si>
  <si>
    <t>*check footnote #3</t>
  </si>
  <si>
    <t xml:space="preserve">2. Bedford County data now includes data from the City of Bedford. </t>
  </si>
  <si>
    <t xml:space="preserve">http://www.coopercenter.org, or contact </t>
  </si>
  <si>
    <t>Meredith Gunter at (434) 982-5585 or by e-mail at meredith.gunter@virginia.edu.</t>
  </si>
  <si>
    <t>Office of Customer Services</t>
  </si>
  <si>
    <t>P.O. Box 1115</t>
  </si>
  <si>
    <t>Richmond, VA  23218-1115</t>
  </si>
  <si>
    <t>2010 (effective 2011)</t>
  </si>
  <si>
    <t xml:space="preserve">*next higest to round up </t>
  </si>
  <si>
    <t>Net Revenue Collections and Department of Taxation General Fund Expenditures ………………………………………………...……………………....………………….…………………………..……………………………..</t>
  </si>
  <si>
    <t>Net Revenue Collections After Refunds by Tax Type ……………………………………...……………………....………………….…………………………..……………………………..</t>
  </si>
  <si>
    <t>Virginia Adjusted Gross Income, Exemptions, Itemized and Standard Deductions, Total Taxable Income, Total Tax Liability, and Average Tax Rates</t>
  </si>
  <si>
    <t xml:space="preserve">This report was prepared by the </t>
  </si>
  <si>
    <t>Other economic and demographic data may be found</t>
  </si>
  <si>
    <t xml:space="preserve">Addition for reserve for loan losses </t>
  </si>
  <si>
    <t>d. Other deductions (total)</t>
  </si>
  <si>
    <t>Capital before Virginia modifications</t>
  </si>
  <si>
    <t>Enterprise Zone Tax Credit</t>
  </si>
  <si>
    <t>Worker Retraining Tax Credit</t>
  </si>
  <si>
    <t>Low Income Housing Tax Credit</t>
  </si>
  <si>
    <t>9. Effective September 1, 2006, the cotton assessment is imposed at the rate of 95 cents per bale.  Prior to September 1, 2006, the cotton assessment was imposed at the rate of 85 cents per bale  All revenues from the tax are deposited into the Virginia Cotton Fund.</t>
  </si>
  <si>
    <t>Other Taxes Net Revenue Collections - Non-General Fund</t>
  </si>
  <si>
    <t>7. The Aircraft Sales and Use Tax is imposed at a rate of 2 percent of the sales price.  All revenues from this tax are deposited in a special fund within the Commonwealth Transportation Fund for the administration of the aviation laws of the Commonwealth.</t>
  </si>
  <si>
    <t xml:space="preserve">3. The estate tax was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estates of individuals who died on or after July 1, 2007.  In general, estates owing the tax have nine months to file a return.  Therefore, the last returns were due on March 30, 2008. However, revenue from this tax may continue to be generated by delinquent filers or returns filed on extension. The estate tax includes inheritance, estate and gift. </t>
  </si>
  <si>
    <t>4. The watercraft sales and use tax is imposed at a rate of 2 percent of the purchase price, up to a maximum of $2,000.</t>
  </si>
  <si>
    <t>5. The rolling stock tax on railroads, freight car companies, and certified motor vehicle carriers is $1 on each $100 of assessed value.</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</si>
  <si>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10"/>
        <color theme="1"/>
        <rFont val="Arial"/>
        <family val="2"/>
      </rPr>
      <t>Acts of Assembly</t>
    </r>
    <r>
      <rPr>
        <sz val="10"/>
        <color theme="1"/>
        <rFont val="Arial"/>
        <family val="2"/>
      </rPr>
      <t xml:space="preserve">. </t>
    </r>
  </si>
  <si>
    <t xml:space="preserve">1. Bedford County data includes data from the City of Bedford- which reverted to a town, effective July 1, 2013. </t>
  </si>
  <si>
    <t>1. The current classifications are based on NAICS codes. Prior to 2005, different business classification codes were used. Historic taxable sales cannot be converted to the new classification system.</t>
  </si>
  <si>
    <t>9. A new state tax of 0.7% was effective July 1, 2013 for localities in Northern Virginia region and Hampton Roads region.</t>
  </si>
  <si>
    <t xml:space="preserve">7. The state tax was increased from 4% to 4.3% on July 1, 2013. Of the 0.3% increase, 0.175% goes to Highway Maintenance Operating Fund, 0.05% goes to Intercity Passenger Rail and 0.075% goes to Commonwealth Mass Transit Fund. </t>
  </si>
  <si>
    <t xml:space="preserve"> Corporate Returns</t>
  </si>
  <si>
    <t xml:space="preserve">1. The tax rate is 6% of the corporation's Virginia taxable income, except in the case of certain energy suppliers and telecommunication companies that are subject to a Minimum Tax. </t>
  </si>
  <si>
    <t>2. Tax assessed shown is before any credits.</t>
  </si>
  <si>
    <t>2. Prior to FY 2017, the Commonwealth Accounting and Reporting System was the data source for Corporate Income Tax revenue. Effective with FY 2017, Cardinal, Revenue Status Report is the data source for Corporate Income Tax revenue.</t>
  </si>
  <si>
    <t>1. The Refund Match program automatically matches an overpayment amount on a taxpayer's return to any outstanding tax due to the Department of Taxation, with the exception of fiduciary and estate tax accounts.</t>
  </si>
  <si>
    <t>1. The Set-Off Debt program applies an overpayment amount on a taxpayer's return against accounts receivable due to an agency of the Commonwealth.</t>
  </si>
  <si>
    <t>2. Tax liability is before any tax credits but after the spouse tax adjustment.</t>
  </si>
  <si>
    <t>3.  Bedford County data includes data from the City of Bedford- which reverted to a town, effective July 1, 2013.</t>
  </si>
  <si>
    <t>1. Totals in Table 1.7 may not agree with totals in previous tables due to minor variations in rounding.</t>
  </si>
  <si>
    <t>1.  Bedford County data includes data from the City of Bedford- which reverted to a town, effective July 1, 2013.</t>
  </si>
  <si>
    <t>Separately</t>
  </si>
  <si>
    <t xml:space="preserve">Married Filing </t>
  </si>
  <si>
    <t xml:space="preserve">Joint </t>
  </si>
  <si>
    <t xml:space="preserve">Filing </t>
  </si>
  <si>
    <t xml:space="preserve">Separately </t>
  </si>
  <si>
    <t>Married Filing Separate</t>
  </si>
  <si>
    <t>Married Filing Joint</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</si>
  <si>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</si>
  <si>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</si>
  <si>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</si>
  <si>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</si>
  <si>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</si>
  <si>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</si>
  <si>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r>
      <t xml:space="preserve">7. Total deductions represents standard and itemized deduction and does not include other deductions in </t>
    </r>
    <r>
      <rPr>
        <i/>
        <sz val="10"/>
        <rFont val="Arial"/>
        <family val="2"/>
      </rPr>
      <t xml:space="preserve">Va. Code § </t>
    </r>
    <r>
      <rPr>
        <sz val="10"/>
        <rFont val="Arial"/>
        <family val="2"/>
      </rPr>
      <t xml:space="preserve"> 58.1-322.03.</t>
    </r>
  </si>
  <si>
    <t>1. Tax liability is before any tax credits but after the spouse tax adjustment.</t>
  </si>
  <si>
    <t xml:space="preserve">Corporate Income Tax </t>
  </si>
  <si>
    <t>Bank Franchise (state share)</t>
  </si>
  <si>
    <t xml:space="preserve">Individual Income </t>
  </si>
  <si>
    <t>Net Revenue Collections After Refunds by Tax Type</t>
  </si>
  <si>
    <t>By the Commonwealth of Virginia</t>
  </si>
  <si>
    <t>By the Department of Taxation*</t>
  </si>
  <si>
    <t>*Includes all taxes administered by the Department of Taxation.</t>
  </si>
  <si>
    <t xml:space="preserve">Set-Off Debt Transferred to Agencies by Taxable Year ……………………………………...……………………....………………….……………………………………………………………………….…………………..……………………………..                                                                           </t>
  </si>
  <si>
    <t xml:space="preserve">Fiscal Year Individual and Corporate Income Tax, Insurance Premium License Tax and Bank Franchise Tax Credits ……………………………………...……………………....………………….……………………………………………………………………….…………………..……………………………..     </t>
  </si>
  <si>
    <t xml:space="preserve">Recordation Tax and Deeds of Conveyance Revenue Collections by Locality </t>
  </si>
  <si>
    <t xml:space="preserve">Number of Insurance Returns, Taxable Premium Income, and Tax Liability……………………………………...……………………....………………….……………………………………………………………………….…………………..……………………………..                                                                   </t>
  </si>
  <si>
    <t xml:space="preserve">Exemptions, Standard and Itemized Deductions, and Number of Returns by Filing Status/Locality……………………………………...……………………....………………….……………………………………………………………………….…………………..……………………………..                                                     </t>
  </si>
  <si>
    <t>Exemptions, Standard and Itemized Deductions, and Number of Returns by Filing Status/Locality</t>
  </si>
  <si>
    <t>1. As reported in these tables, individual income tax includes individual and fiduciary income tax, individual estimated income tax, and employer income tax withholding.</t>
  </si>
  <si>
    <t>4. Not all sales are subject to the Retail Sales and Use Tax. Numerous sales are excluded or exempted.</t>
  </si>
  <si>
    <t xml:space="preserve">Estate Tax </t>
  </si>
  <si>
    <t>The Honorable Aubrey L. Layne, Secretary of Finance</t>
  </si>
  <si>
    <t>The Honorable Ralph S. Northam, Governor</t>
  </si>
  <si>
    <t>Virginia Adjusted Gross Income, Exemptions, Itemized and Standard Deductions, Total Taxable Income, Total Tax Liability, and Average Tax Rates………………………</t>
  </si>
  <si>
    <t xml:space="preserve">2. Cardinal, Revenue Status Report is the data source for net revenue collections. </t>
  </si>
  <si>
    <t xml:space="preserve">3. Effective January 1, 2014, the General Assembly enacted legislation that allowed an individual to designate their individual income tax refund, or a portion thereof, to be deposited into one or more Virginia College Savings Plan accounts (Virginia 529).  </t>
  </si>
  <si>
    <t>§ 58.1-439.12:11</t>
  </si>
  <si>
    <t>Major Research and Development Expenses Tax Credit</t>
  </si>
  <si>
    <t>2016 (effective 2017)</t>
  </si>
  <si>
    <t>§ 58.1-439.12:12</t>
  </si>
  <si>
    <t>Food Crop Donation Tax Credit</t>
  </si>
  <si>
    <r>
      <t>United States Olympic Committee</t>
    </r>
    <r>
      <rPr>
        <vertAlign val="superscript"/>
        <sz val="10"/>
        <color indexed="8"/>
        <rFont val="Arial"/>
        <family val="2"/>
      </rPr>
      <t>#</t>
    </r>
  </si>
  <si>
    <r>
      <t>Community Policing Fund</t>
    </r>
    <r>
      <rPr>
        <vertAlign val="superscript"/>
        <sz val="10"/>
        <color indexed="8"/>
        <rFont val="Arial"/>
        <family val="2"/>
      </rPr>
      <t>#</t>
    </r>
  </si>
  <si>
    <r>
      <t>Historic Resources Fund</t>
    </r>
    <r>
      <rPr>
        <vertAlign val="superscript"/>
        <sz val="10"/>
        <color indexed="8"/>
        <rFont val="Arial"/>
        <family val="2"/>
      </rPr>
      <t>#</t>
    </r>
  </si>
  <si>
    <r>
      <t>Uninsured Medical Catastrophe Fund</t>
    </r>
    <r>
      <rPr>
        <vertAlign val="superscript"/>
        <sz val="10"/>
        <color indexed="8"/>
        <rFont val="Arial"/>
        <family val="2"/>
      </rPr>
      <t>#</t>
    </r>
  </si>
  <si>
    <r>
      <t>War Memorial &amp; National D-Day Memorial</t>
    </r>
    <r>
      <rPr>
        <vertAlign val="superscript"/>
        <sz val="10"/>
        <color indexed="8"/>
        <rFont val="Arial"/>
        <family val="2"/>
      </rPr>
      <t>#</t>
    </r>
  </si>
  <si>
    <r>
      <t>Tuition Assistance Grant Fund</t>
    </r>
    <r>
      <rPr>
        <vertAlign val="superscript"/>
        <sz val="10"/>
        <color indexed="8"/>
        <rFont val="Arial"/>
        <family val="2"/>
      </rPr>
      <t>#</t>
    </r>
  </si>
  <si>
    <r>
      <t>Martin Luther King, Jr. Living History Public Policy Center Fund</t>
    </r>
    <r>
      <rPr>
        <vertAlign val="superscript"/>
        <sz val="10"/>
        <color indexed="8"/>
        <rFont val="Arial"/>
        <family val="2"/>
      </rPr>
      <t>#</t>
    </r>
  </si>
  <si>
    <r>
      <t>Celebrating Special Children, Inc.</t>
    </r>
    <r>
      <rPr>
        <vertAlign val="superscript"/>
        <sz val="10"/>
        <color indexed="8"/>
        <rFont val="Arial"/>
        <family val="2"/>
      </rPr>
      <t>#</t>
    </r>
  </si>
  <si>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</si>
  <si>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</si>
  <si>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</si>
  <si>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</si>
  <si>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</si>
  <si>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</si>
  <si>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</si>
  <si>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Federation of Virginia Food Banks^</t>
  </si>
  <si>
    <t>VDA Medicare Part D Counseling Fund^</t>
  </si>
  <si>
    <t xml:space="preserve">^ These organizations were added to  2016 Virginia Individual Income Tax return. </t>
  </si>
  <si>
    <r>
      <t>Tax Value Assistance to Localities</t>
    </r>
    <r>
      <rPr>
        <vertAlign val="superscript"/>
        <sz val="12"/>
        <color indexed="8"/>
        <rFont val="Arial"/>
        <family val="2"/>
      </rPr>
      <t>#</t>
    </r>
  </si>
  <si>
    <r>
      <t xml:space="preserve"># </t>
    </r>
    <r>
      <rPr>
        <sz val="10"/>
        <rFont val="Arial"/>
        <family val="2"/>
      </rPr>
      <t>The Department of Taxation is custodian of the funds appropriated to the State Land Evaluation Advisory</t>
    </r>
  </si>
  <si>
    <t>5. Cardinal, Revenue Status Report is the data source for net revenue collections.</t>
  </si>
  <si>
    <t>Council (SLEAC) and makes expenditures on behalf of SLEAC. These expenditures are not included above.</t>
  </si>
  <si>
    <t>Fiscal Year 2019</t>
  </si>
  <si>
    <t>Local Property Taxes</t>
  </si>
  <si>
    <t xml:space="preserve">Assessed Values, Levies Assessed, and Average Tax Rates ……………………………………...……………………....………………….……………………………………………………………………….…………………..……………………………..                                                                   </t>
  </si>
  <si>
    <t xml:space="preserve">Tangible Personal Property, Machinery and Tools, Merchants' Capital, and Public Service Corporations by Locality ……………………………………...……………………....………………….……………………………………………………………………….…………………..……………………………..                             </t>
  </si>
  <si>
    <t>Table 7.1</t>
  </si>
  <si>
    <t>Table 6.2</t>
  </si>
  <si>
    <t>FMV Land</t>
  </si>
  <si>
    <t>FMV Taxable Land</t>
  </si>
  <si>
    <t>FMV Structures</t>
  </si>
  <si>
    <t>Total FMV</t>
  </si>
  <si>
    <t>Total Taxable FMV</t>
  </si>
  <si>
    <t>Local Levy</t>
  </si>
  <si>
    <t>Reporting Year</t>
  </si>
  <si>
    <t xml:space="preserve">Bedford </t>
  </si>
  <si>
    <t>Table 6.2, continued</t>
  </si>
  <si>
    <t xml:space="preserve">Harrisonburg  </t>
  </si>
  <si>
    <t xml:space="preserve">Lexington  </t>
  </si>
  <si>
    <t xml:space="preserve">Manassas  </t>
  </si>
  <si>
    <t xml:space="preserve">Norton  </t>
  </si>
  <si>
    <t xml:space="preserve">Williamsburg  </t>
  </si>
  <si>
    <t>1. The data in this table are reported as certified by local Commissioners of the Revenue and Assessors.</t>
  </si>
  <si>
    <t>2. Levies shown do not include penalties and interest collected.</t>
  </si>
  <si>
    <r>
      <t>3. Taxable fair market value is the total fair market of real estate minus the special assessment for land preservation (</t>
    </r>
    <r>
      <rPr>
        <i/>
        <sz val="9"/>
        <rFont val="Arial"/>
        <family val="2"/>
      </rPr>
      <t>Va. Code §</t>
    </r>
    <r>
      <rPr>
        <sz val="9"/>
        <rFont val="Arial"/>
        <family val="2"/>
      </rPr>
      <t xml:space="preserve"> 58.1-3230).</t>
    </r>
  </si>
  <si>
    <t>4. The taxable fair market value is equal to the total fair market value for localities which do not have a special assessment for land preservation.</t>
  </si>
  <si>
    <t xml:space="preserve">5. Bedford County data includes data from the City of Bedford- which reverted to a town, effective July 1, 2013.  </t>
  </si>
  <si>
    <t xml:space="preserve">6. For a few counties, the data may also include the data for towns that have their own school divisions. </t>
  </si>
  <si>
    <t>Table 6.3</t>
  </si>
  <si>
    <t>Taxes Lost</t>
  </si>
  <si>
    <t>Fair Market Value</t>
  </si>
  <si>
    <t>Fair Market Value Tax Exempt Real Estate</t>
  </si>
  <si>
    <t>(Real Estate and</t>
  </si>
  <si>
    <t>Tax Exempt to</t>
  </si>
  <si>
    <t>Due to</t>
  </si>
  <si>
    <t>Real Estate</t>
  </si>
  <si>
    <t>Government</t>
  </si>
  <si>
    <t>Non-Government</t>
  </si>
  <si>
    <t>Total Tax Exempt</t>
  </si>
  <si>
    <t>Tax Exempt)</t>
  </si>
  <si>
    <t>Table 6.3, continued</t>
  </si>
  <si>
    <t xml:space="preserve">2. Bedford County data includes data from the City of Bedford- which reverted to a town, effective July 1, 2013. </t>
  </si>
  <si>
    <t xml:space="preserve">3. For a few counties, the data may also include the data for towns that have their own school divisions. </t>
  </si>
  <si>
    <t>Table 6.4</t>
  </si>
  <si>
    <t>Tangible Personal Property, Machinery and Tools, Merchants' Capital, and Public Service Corporations</t>
  </si>
  <si>
    <t>Tangible Personal Property</t>
  </si>
  <si>
    <t>Machinery and Tools</t>
  </si>
  <si>
    <t>Merchants' Capital</t>
  </si>
  <si>
    <t>Public Service Corporations</t>
  </si>
  <si>
    <t>Values</t>
  </si>
  <si>
    <t>Levies</t>
  </si>
  <si>
    <t>Table 6.4, continued</t>
  </si>
  <si>
    <r>
      <t xml:space="preserve">1. A local license tax may be imposed on gross receipts under </t>
    </r>
    <r>
      <rPr>
        <i/>
        <sz val="9"/>
        <rFont val="Arial"/>
        <family val="2"/>
      </rPr>
      <t xml:space="preserve">Va. Code </t>
    </r>
    <r>
      <rPr>
        <sz val="9"/>
        <rFont val="Arial"/>
        <family val="2"/>
      </rPr>
      <t>§ 58.1-3706.</t>
    </r>
  </si>
  <si>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</si>
  <si>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</si>
  <si>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</si>
  <si>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</si>
  <si>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</si>
  <si>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 xml:space="preserve">8. Bedford County data includes data from the City of Bedford- which reverted to a town, effective July 1, 2013. </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</si>
  <si>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</si>
  <si>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</si>
  <si>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</si>
  <si>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</si>
  <si>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</si>
  <si>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</si>
  <si>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</si>
  <si>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</si>
  <si>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</si>
  <si>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</si>
  <si>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</si>
  <si>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</si>
  <si>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</si>
  <si>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</si>
  <si>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1.Average tax rate is computed as the aggregate levy for all counties and cities divided by the aggregate assessed value for all counties and cities.</t>
  </si>
  <si>
    <t xml:space="preserve">n/b: pulled updated values from revised annual report so wldnt match FY17 annual report </t>
  </si>
  <si>
    <t>2018 - 2019</t>
  </si>
  <si>
    <t xml:space="preserve">Historic </t>
  </si>
  <si>
    <t>Triangle</t>
  </si>
  <si>
    <t xml:space="preserve">12. Prior to FY 2017, the Commonwealth Accounting and Reporting System was the data source for net revenue collections. Effective with FY 2017, Cardinal, Revenue Status Report is the data source for net revenue collections. </t>
  </si>
  <si>
    <t>US Treasury</t>
  </si>
  <si>
    <r>
      <t>Notes:</t>
    </r>
    <r>
      <rPr>
        <sz val="9"/>
        <color theme="0"/>
        <rFont val="Arial"/>
        <family val="2"/>
      </rPr>
      <t xml:space="preserve"> (check footnotes if changes needed)</t>
    </r>
  </si>
  <si>
    <r>
      <t xml:space="preserve">Notes: </t>
    </r>
    <r>
      <rPr>
        <sz val="10"/>
        <color rgb="FFC00000"/>
        <rFont val="Arial"/>
        <family val="2"/>
      </rPr>
      <t xml:space="preserve"> </t>
    </r>
    <r>
      <rPr>
        <sz val="10"/>
        <color theme="0"/>
        <rFont val="Arial"/>
        <family val="2"/>
      </rPr>
      <t xml:space="preserve">(check footnotes if changes needed) </t>
    </r>
  </si>
  <si>
    <r>
      <t xml:space="preserve">Notes: </t>
    </r>
    <r>
      <rPr>
        <sz val="10"/>
        <color theme="0"/>
        <rFont val="Arial"/>
        <family val="2"/>
      </rPr>
      <t>(check footnotes if changes needed)</t>
    </r>
    <r>
      <rPr>
        <sz val="10"/>
        <color rgb="FFC00000"/>
        <rFont val="Arial"/>
        <family val="2"/>
      </rPr>
      <t xml:space="preserve"> </t>
    </r>
  </si>
  <si>
    <r>
      <t xml:space="preserve">Notes:  </t>
    </r>
    <r>
      <rPr>
        <sz val="10"/>
        <color theme="0"/>
        <rFont val="Arial"/>
        <family val="2"/>
      </rPr>
      <t xml:space="preserve">(check footnotes if changes needed) </t>
    </r>
  </si>
  <si>
    <r>
      <t xml:space="preserve">* Contributions to political parties are limited to $25 ($50 on a joint return), see </t>
    </r>
    <r>
      <rPr>
        <i/>
        <sz val="10"/>
        <rFont val="Arial"/>
        <family val="2"/>
      </rPr>
      <t>Va. Code §</t>
    </r>
    <r>
      <rPr>
        <sz val="10"/>
        <rFont val="Arial"/>
        <family val="2"/>
      </rPr>
      <t xml:space="preserve">  58.1-344.3 (B) (3).  </t>
    </r>
  </si>
  <si>
    <t>2.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is responsible for paying a communications use tax.</t>
  </si>
  <si>
    <t>1. Communications taxes in Virginia include: 5% Communications Sales tax on telecommunications services, 75ȼ State E-911 tax for landline and Voice Over Internet Protocol (VOiP) phones, 50ȼ Prepaid Wireless E-911 tax for mobile phones and $1.20 Landline telephone and cable TV franchise right of way fees.</t>
  </si>
  <si>
    <t>Falls Church*</t>
  </si>
  <si>
    <t>Portsmouth*</t>
  </si>
  <si>
    <t xml:space="preserve">4. Some localities exempt certain categories from taxation. For a few counties, the data may also include the data for towns that have their own school divisions. </t>
  </si>
  <si>
    <t>VIRGINIA TAX</t>
  </si>
  <si>
    <r>
      <t>Home Energy Assistance</t>
    </r>
    <r>
      <rPr>
        <vertAlign val="superscript"/>
        <sz val="10"/>
        <color indexed="8"/>
        <rFont val="Arial"/>
        <family val="2"/>
      </rPr>
      <t>#</t>
    </r>
  </si>
  <si>
    <t xml:space="preserve">Number of </t>
  </si>
  <si>
    <t>*</t>
  </si>
  <si>
    <t xml:space="preserve">10. A new state tax of 1.0% was effective July 1, 2018 for sales made in the Historic Triangle Region in the City of  Williamsburg and the counties of James City and York, with the exception of food purchased for human consumption. </t>
  </si>
  <si>
    <t>4. Rolling Stock Tax includes Railroad and Car line company taxes.</t>
  </si>
  <si>
    <t>2. Effective beginning with Taxable Year 2017, Virginia entered into an agreement with U.S. Treasury to offset tax payments to collect nontax debts owed to the United States.</t>
  </si>
  <si>
    <t>6. Beginning March 1, 2005, other tobacco products are taxed at 10 percent of the sales price charged by the wholesale dealer.   Effective April 1, 2009, the federal tax rate on other tobacco products charged to manufacturers increased.  Since Virginia's tax is assessed at the wholesale level, the federal rate change increases the taxable base for Virginia's tax. All revenues from this tax are deposited into the Virginia Health Care Fund.</t>
  </si>
  <si>
    <t>5. Beginning September 1, 2004, the tax on cigarettes was imposed at a rate of 20 cents per pack of 20 cigarettes. Effective July 1, 2005, the tax on cigarette was imposed at a rate of 30 cents per pack of 20 cigarettes. Effective April 1, 2009, the federal cigarette tax rate was increased by 61.66 cents. All revenues from the Cigarette Tax are deposited into the Virginia Health Care Fund.</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</si>
  <si>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</si>
  <si>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FISCAL YEAR 2020</t>
  </si>
  <si>
    <t xml:space="preserve">Local Sales Tax Distribution - Fiscal Year 2020……………………………………...……………………....………………….……………………………………………………………………….…………………..……………………………..                 </t>
  </si>
  <si>
    <t xml:space="preserve">Bank Franchise Tax Assessment Statement - Fiscal Year 2020……………………………………...……………………....………………….……………………………………………………………………….…………………..……………………………..                                                                         </t>
  </si>
  <si>
    <t xml:space="preserve">Communications Sales Tax Distributions, - Fiscal Year 2020……………………………………...……………………....………………….……………………………………………………………………….…………………..……………………………..                                                                   </t>
  </si>
  <si>
    <t xml:space="preserve">Real Estate Fair Market Value (FMV), Fair Market Value (Taxable), Local Levy by Locality - Tax Year 2019 ……………………………………...……………………....………………….……………………………………………………………………….…………………..……………………………..                                        </t>
  </si>
  <si>
    <t xml:space="preserve">Comparison of Tax Exempt Value to Total Fair Market Value (FMV) of Real Estate by Locality - Tax Year 2019……………………………………...……………………....………………….……………………………………………………………………….…………………..……………………………..                                          </t>
  </si>
  <si>
    <t>Fiscal Year 2020</t>
  </si>
  <si>
    <t>2020/2019</t>
  </si>
  <si>
    <t>Taxable Year 2018</t>
  </si>
  <si>
    <t>Based on Corporate Income Tax returns filed for Taxable Year 2018*</t>
  </si>
  <si>
    <t>* This table is not comparable to equivalent tables in annual reports prior to FY 2006.  Returns are selected for inclusion on this table if the tax reporting period on the return began in 2018.  Reports prior to FY 2006 selected returns based on the state fiscal year in which they were received.</t>
  </si>
  <si>
    <t>Returns Processed During Fiscal Year 2020</t>
  </si>
  <si>
    <t>Local Sales Tax Distribution - Fiscal Year 2020</t>
  </si>
  <si>
    <t>*check FN</t>
  </si>
  <si>
    <t>Bank Franchise Tax Assessment Tax Statement - Fiscal Year 2020</t>
  </si>
  <si>
    <t>Communications Sales Tax Distributions, Fiscal Year 2020</t>
  </si>
  <si>
    <r>
      <t>3. The distributions for FY 2020 were based on collections for</t>
    </r>
    <r>
      <rPr>
        <sz val="10"/>
        <color theme="1"/>
        <rFont val="Arial"/>
        <family val="2"/>
      </rPr>
      <t xml:space="preserve"> May 2019 through April 2020.</t>
    </r>
  </si>
  <si>
    <t>Based on tax returns filed for Taxable Year 2019</t>
  </si>
  <si>
    <t xml:space="preserve">Insurance Tax Credits Claimed on Returns  Processed during Fiscal Year 2020 </t>
  </si>
  <si>
    <t xml:space="preserve">7. The amount of insurance tax credits reported is for returns processed during FY 2020, regardless of taxable year. This table only lists insurance tax credits claimed for FY 2020 that were greater than zero.   </t>
  </si>
  <si>
    <t>Real Estate Fair Market Value (FMV), Fair Market Value (Taxable), and Local Levy by Locality - Tax Year 2019</t>
  </si>
  <si>
    <t>Comparison of Tax Exempt Value to Total Fair Market Value (FMV) of Real Estate by Locality - Tax Year 2019</t>
  </si>
  <si>
    <t>Assessed Values and Levies by Locality - Tax Year 2019</t>
  </si>
  <si>
    <r>
      <t xml:space="preserve">1. Prior to 2003, nonprofit entities needed to obtain legislation granting them an exemption from the General Assembly, unless they qualified under an existing exemption. The Department’s estimate of annual revenue impact of the nonprofit entity exemption is based on the amounts of exempt purchases reported to the Department by nonprofit entities on their applications for a new or renewed exemption under </t>
    </r>
    <r>
      <rPr>
        <i/>
        <sz val="10"/>
        <color theme="1"/>
        <rFont val="Arial "/>
      </rPr>
      <t>Va. Code</t>
    </r>
    <r>
      <rPr>
        <sz val="10"/>
        <color theme="1"/>
        <rFont val="Arial "/>
      </rPr>
      <t xml:space="preserve"> § 58.1-609.11.  As many medical related nonprofit organizations enjoyed a grandfathered exemption under </t>
    </r>
    <r>
      <rPr>
        <i/>
        <sz val="10"/>
        <color theme="1"/>
        <rFont val="Arial "/>
      </rPr>
      <t>Va. Code</t>
    </r>
    <r>
      <rPr>
        <sz val="10"/>
        <color theme="1"/>
        <rFont val="Arial "/>
      </rPr>
      <t xml:space="preserve"> § 58.1-609.7 until July 1, 2008, the FY 2007 estimate is understated.  It does not include the estimated purchases of such organizations that did not apply for a new exemption under </t>
    </r>
    <r>
      <rPr>
        <i/>
        <sz val="10"/>
        <color theme="1"/>
        <rFont val="Arial "/>
      </rPr>
      <t>Va. Code</t>
    </r>
    <r>
      <rPr>
        <sz val="10"/>
        <color theme="1"/>
        <rFont val="Arial "/>
      </rPr>
      <t xml:space="preserve"> 58.1-609.11 prior to July 1, 2007.     </t>
    </r>
  </si>
  <si>
    <r>
      <t>Expenditures on behalf of SLEAC were $104,629 in FY 2019 and were</t>
    </r>
    <r>
      <rPr>
        <sz val="10"/>
        <color theme="1"/>
        <rFont val="Arial"/>
        <family val="2"/>
      </rPr>
      <t xml:space="preserve"> $223,900 in FY 2020.</t>
    </r>
  </si>
  <si>
    <t>* Number of returns for this credit is not available for release because fewer than four returns claiming the credit were processed in FY 2020.</t>
  </si>
  <si>
    <t xml:space="preserve">1.  Number of returns and amounts are for income tax returns processed during FY 2020, regardless of taxable year.  For most credits, returns for multiple taxable years were processed during the fiscal year.  The total for each return may include carryovers from prior years.   </t>
  </si>
  <si>
    <t>§ 58.1-439.6:1</t>
  </si>
  <si>
    <t>Worker Training Tax Credit</t>
  </si>
  <si>
    <t>2019 (effective 2020)</t>
  </si>
  <si>
    <t xml:space="preserve">* Locality did not submit requested data for Tax Year 2019 and as such the locality's Tax Year 2018 data is being reported.  </t>
  </si>
  <si>
    <t xml:space="preserve">11. Effective beginning FY 2010, dealers with annual taxable sales above the threshold of $1 million or more are required to make a June payment equal to 90 percent of their sales and use tax liability for the previous June. For the payment due June 2020, the threshold was $10 million of annual taxable sales.  </t>
  </si>
  <si>
    <r>
      <t>5. Pass-through entities such as S corporations, partnerships and limited liability companies generally file Form 502. Any income flows through to owners of each pass-through entity and they report all taxable income on their tax returns. During Taxable Year 2018, there were</t>
    </r>
    <r>
      <rPr>
        <sz val="10"/>
        <color rgb="FFFF0000"/>
        <rFont val="Arial"/>
        <family val="2"/>
      </rPr>
      <t xml:space="preserve"> </t>
    </r>
    <r>
      <rPr>
        <sz val="10"/>
        <color theme="1"/>
        <rFont val="Arial"/>
        <family val="2"/>
      </rPr>
      <t xml:space="preserve">253,202 </t>
    </r>
    <r>
      <rPr>
        <sz val="10"/>
        <rFont val="Arial"/>
        <family val="2"/>
      </rPr>
      <t xml:space="preserve">pass-through entity returns filed. </t>
    </r>
  </si>
  <si>
    <t xml:space="preserve">Nonprofit Exemption Annual Report by Fiscal Year……………………………………...……………………....………………….……………………………………………………………………….…………………..……………………………..    </t>
  </si>
  <si>
    <t xml:space="preserve">Nonprofit Organization Tax Exemption Annual Report  By Fiscal Year </t>
  </si>
  <si>
    <t>2. Each Fiscal Year, the State's blended Retail Sales and Use Tax rate is used to calculate the tax expenditure resulting from purchases made by Non-profit organizations. From Fiscal Year 2007 to Fiscal year 2013, the blended Retail Sales and Use Tax rate used to calculate the non-profit tax exemption was 5%. From Fiscal Year 2014 to Fiscal year 2019, the blended Retail Sales and Use Tax rate used to calculate the non-profit tax exemption was 5.67%. Starting with Fiscal Year 2020, the blended Retail Sales and Use Tax rate used to calculate the non-profit tax exemption is 5.69%.</t>
  </si>
  <si>
    <t>2019 - 2020</t>
  </si>
  <si>
    <t xml:space="preserve">Fairfax City </t>
  </si>
  <si>
    <t>Poquoson*</t>
  </si>
  <si>
    <t>Petersburg*</t>
  </si>
  <si>
    <t>Manassas Park*</t>
  </si>
  <si>
    <t>Hampton*</t>
  </si>
  <si>
    <t>Alexandria*</t>
  </si>
  <si>
    <t>James City*</t>
  </si>
  <si>
    <t>Arlington*</t>
  </si>
  <si>
    <t>Richmond*</t>
  </si>
  <si>
    <r>
      <t xml:space="preserve"># </t>
    </r>
    <r>
      <rPr>
        <sz val="10"/>
        <rFont val="Arial"/>
        <family val="2"/>
      </rPr>
      <t xml:space="preserve">These organizations were removed from the 2016 Virginia Individual Income Tax return with the exception of 'Home Energy Assistance' which was removed from the 2017 Virginia Individual Income Tax return. Amounts reported for taxable year 2018 represent contributions made on returns filed for prior years and processed in the 2019 calendar year.  </t>
    </r>
  </si>
  <si>
    <t>2. Contributions are reported by taxable year for returns that are processed during the subsequent calendar year.  For example, contributions reported for Taxable Year 2018 are from all returns processed in calendar year 2019. The majority of returns processed in calendar year 2019 are for TY 2018; however, some returns from previous taxable years maybe included.</t>
  </si>
  <si>
    <r>
      <t xml:space="preserve">3. Insurance companies are subject to tax on their gross premium income. Depending on the line(s) of insurance from which the premiums were derived, the tax rates for taxable year 2019 were </t>
    </r>
    <r>
      <rPr>
        <sz val="10"/>
        <color theme="1"/>
        <rFont val="Arial"/>
        <family val="2"/>
      </rPr>
      <t>2.25% and 1.00%</t>
    </r>
    <r>
      <rPr>
        <sz val="10"/>
        <rFont val="Arial"/>
        <family val="2"/>
      </rPr>
      <t xml:space="preserve">. Surplus lines brokers are required to pay the tax on each policy of insurance they produce during the preceding calendar year with an insurer that is not licensed to conduct business in Virginia. Surplus lines brokers are subject to a rate of 2.25%. </t>
    </r>
  </si>
  <si>
    <t>Fiscal Year Individual and Corporate Income Tax, Insurance Premium License Tax and Bank Franchise Tax Credits</t>
  </si>
  <si>
    <t>Corporate</t>
  </si>
  <si>
    <r>
      <t>Research and Development Expenses Tax Credit (</t>
    </r>
    <r>
      <rPr>
        <sz val="10"/>
        <color theme="1"/>
        <rFont val="Arial"/>
        <family val="2"/>
      </rPr>
      <t>R</t>
    </r>
    <r>
      <rPr>
        <sz val="10"/>
        <rFont val="Arial"/>
        <family val="2"/>
      </rPr>
      <t>efundable)</t>
    </r>
  </si>
  <si>
    <t>3.  The amount shown for the Coalfields Employment Enhancement Tax credit includes the amount refunded to taxpayers, as well as that deposited with the Coalfields Economic Development Authority.</t>
  </si>
  <si>
    <t xml:space="preserve">5.  The Clean Fuel Vehicle and Vehicle Emissions Testing Equipment Credit includes both the Clean Fuel Vehicle and Certified Electric Vehicle Credit and the Vehicle Emissions Testing Equipment Credit. These two </t>
  </si>
  <si>
    <t>components were reported separately in prior annual reports.</t>
  </si>
  <si>
    <t>Children of America Finding Hope**</t>
  </si>
  <si>
    <t>3. Prior to July 1, 2010, the peanut excise tax was imposed at the rate of 15 cents per 100 pounds.  Effective July 1, 2010, the peanut excise tax is imposed at the rate of 30 cents per 100 pounds. All revenues are deposited into the Peanut Fund.</t>
  </si>
  <si>
    <t xml:space="preserve">** This organization was removed from the 2016 Virginia Individual Income Tax return and was added back to the 2018 Virginia Individual Income Tax return. </t>
  </si>
  <si>
    <t>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</si>
</sst>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s>
  <fonts count="161">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sz val="12"/>
      <color indexed="9"/>
      <name val="COUR"/>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sz val="12"/>
      <color theme="1"/>
      <name val="Arial"/>
      <family val="2"/>
    </font>
    <font>
      <sz val="9"/>
      <color theme="1"/>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sz val="10"/>
      <color theme="1"/>
      <name val="COUR"/>
    </font>
    <font>
      <sz val="9"/>
      <color theme="0"/>
      <name val="Arial"/>
      <family val="2"/>
    </font>
    <font>
      <sz val="10"/>
      <color theme="0" tint="-0.499984740745262"/>
      <name val="Arial"/>
      <family val="2"/>
    </font>
    <font>
      <sz val="10"/>
      <color rgb="FFC00000"/>
      <name val="Arial "/>
      <family val="2"/>
    </font>
    <font>
      <b/>
      <sz val="11"/>
      <color theme="1"/>
      <name val="Arial"/>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b/>
      <sz val="11"/>
      <color theme="0" tint="-0.499984740745262"/>
      <name val="Arial"/>
      <family val="2"/>
    </font>
    <font>
      <b/>
      <sz val="9"/>
      <color theme="0" tint="-0.499984740745262"/>
      <name val="Arial"/>
      <family val="2"/>
    </font>
    <font>
      <b/>
      <sz val="10"/>
      <color theme="0" tint="-0.499984740745262"/>
      <name val="Arial"/>
      <family val="2"/>
    </font>
    <font>
      <i/>
      <sz val="12"/>
      <color theme="0"/>
      <name val="Arial"/>
      <family val="2"/>
    </font>
    <font>
      <i/>
      <sz val="10"/>
      <color theme="1"/>
      <name val="Arial"/>
      <family val="2"/>
    </font>
    <font>
      <sz val="8.5"/>
      <name val="Arial"/>
      <family val="2"/>
    </font>
    <font>
      <i/>
      <sz val="10"/>
      <color theme="0" tint="-0.249977111117893"/>
      <name val="Arial"/>
      <family val="2"/>
    </font>
    <font>
      <sz val="12"/>
      <color theme="0" tint="-0.249977111117893"/>
      <name val="Arial"/>
      <family val="2"/>
    </font>
    <font>
      <sz val="10"/>
      <color rgb="FFFF0000"/>
      <name val="Arial"/>
      <family val="2"/>
    </font>
    <font>
      <sz val="10"/>
      <color rgb="FFFFFFFF"/>
      <name val="Arial"/>
      <family val="2"/>
    </font>
    <font>
      <vertAlign val="superscript"/>
      <sz val="10"/>
      <color indexed="8"/>
      <name val="Arial"/>
      <family val="2"/>
    </font>
    <font>
      <vertAlign val="superscript"/>
      <sz val="10"/>
      <name val="Arial"/>
      <family val="2"/>
    </font>
    <font>
      <sz val="8"/>
      <color rgb="FFFFFFFF"/>
      <name val="Arial"/>
      <family val="2"/>
    </font>
    <font>
      <sz val="12"/>
      <color rgb="FFFFFFFF"/>
      <name val="Arial"/>
      <family val="2"/>
    </font>
    <font>
      <b/>
      <sz val="12"/>
      <color rgb="FFFFFFFF"/>
      <name val="Arial"/>
      <family val="2"/>
    </font>
    <font>
      <sz val="12"/>
      <color rgb="FFFFFFFF"/>
      <name val="COUR"/>
    </font>
    <font>
      <i/>
      <sz val="12"/>
      <color theme="0" tint="-0.249977111117893"/>
      <name val="Arial"/>
      <family val="2"/>
    </font>
    <font>
      <b/>
      <sz val="12"/>
      <color theme="0" tint="-0.249977111117893"/>
      <name val="Arial"/>
      <family val="2"/>
    </font>
    <font>
      <sz val="10"/>
      <color theme="0" tint="-0.249977111117893"/>
      <name val="Arial"/>
      <family val="2"/>
    </font>
    <font>
      <sz val="8"/>
      <color theme="0" tint="-0.249977111117893"/>
      <name val="Arial"/>
      <family val="2"/>
    </font>
    <font>
      <i/>
      <sz val="10"/>
      <color theme="0" tint="-0.249977111117893"/>
      <name val="Arial "/>
    </font>
    <font>
      <sz val="10"/>
      <color theme="0" tint="-0.249977111117893"/>
      <name val="Arial "/>
    </font>
    <font>
      <sz val="10"/>
      <color theme="0" tint="-0.249977111117893"/>
      <name val="COUR"/>
    </font>
    <font>
      <b/>
      <sz val="10"/>
      <color theme="0" tint="-0.249977111117893"/>
      <name val="Arial"/>
      <family val="2"/>
    </font>
    <font>
      <sz val="10"/>
      <color theme="0"/>
      <name val="COUR"/>
    </font>
    <font>
      <vertAlign val="superscript"/>
      <sz val="12"/>
      <color indexed="8"/>
      <name val="Arial"/>
      <family val="2"/>
    </font>
    <font>
      <sz val="12"/>
      <color rgb="FFC00000"/>
      <name val="COUR"/>
    </font>
    <font>
      <sz val="12"/>
      <color theme="1"/>
      <name val="COUR"/>
    </font>
    <font>
      <b/>
      <sz val="9"/>
      <color rgb="FFC00000"/>
      <name val="Arial"/>
      <family val="2"/>
    </font>
    <font>
      <sz val="9"/>
      <color theme="0" tint="-0.249977111117893"/>
      <name val="Arial"/>
      <family val="2"/>
    </font>
    <font>
      <i/>
      <sz val="9"/>
      <name val="Arial"/>
      <family val="2"/>
    </font>
    <font>
      <sz val="9"/>
      <color theme="0" tint="-0.499984740745262"/>
      <name val="Arial"/>
      <family val="2"/>
    </font>
    <font>
      <sz val="10"/>
      <color theme="0" tint="-0.14999847407452621"/>
      <name val="Arial"/>
      <family val="2"/>
    </font>
    <font>
      <sz val="8"/>
      <color theme="0"/>
      <name val="Arial"/>
      <family val="2"/>
    </font>
    <font>
      <sz val="10"/>
      <color theme="0"/>
      <name val="Arial "/>
    </font>
    <font>
      <b/>
      <sz val="10"/>
      <color rgb="FFFFFFFF"/>
      <name val="Arial"/>
      <family val="2"/>
    </font>
    <font>
      <sz val="10"/>
      <color theme="1"/>
      <name val="Arial "/>
    </font>
    <font>
      <i/>
      <sz val="10"/>
      <color theme="1"/>
      <name val="Arial "/>
    </font>
    <font>
      <b/>
      <sz val="12"/>
      <color theme="0" tint="-0.34998626667073579"/>
      <name val="Arial"/>
      <family val="2"/>
    </font>
    <font>
      <sz val="12"/>
      <color theme="0" tint="-0.34998626667073579"/>
      <name val="Arial"/>
      <family val="2"/>
    </font>
    <font>
      <i/>
      <sz val="10"/>
      <color theme="0" tint="-0.34998626667073579"/>
      <name val="Arial"/>
      <family val="2"/>
    </font>
    <font>
      <i/>
      <sz val="12"/>
      <color theme="0" tint="-0.34998626667073579"/>
      <name val="Arial"/>
      <family val="2"/>
    </font>
    <font>
      <sz val="9"/>
      <color rgb="FFFFFFFF"/>
      <name val="Arial"/>
      <family val="2"/>
    </font>
    <font>
      <i/>
      <sz val="10"/>
      <color theme="0" tint="-0.14999847407452621"/>
      <name val="Arial"/>
      <family val="2"/>
    </font>
    <font>
      <b/>
      <sz val="12"/>
      <color theme="0"/>
      <name val="Arial"/>
      <family val="2"/>
    </font>
    <font>
      <sz val="12"/>
      <color theme="0"/>
      <name val="COUR"/>
    </font>
    <font>
      <i/>
      <sz val="12"/>
      <color theme="0" tint="-0.499984740745262"/>
      <name val="Arial"/>
      <family val="2"/>
    </font>
    <font>
      <i/>
      <sz val="9"/>
      <color theme="0"/>
      <name val="Arial"/>
      <family val="2"/>
    </font>
    <font>
      <sz val="9"/>
      <color theme="3"/>
      <name val="Arial"/>
      <family val="2"/>
    </font>
    <font>
      <sz val="9"/>
      <color theme="4" tint="-0.499984740745262"/>
      <name val="Arial"/>
      <family val="2"/>
    </font>
  </fonts>
  <fills count="38">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59">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thin">
        <color indexed="64"/>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
      <left/>
      <right/>
      <top style="thin">
        <color rgb="FFFFFFFF"/>
      </top>
      <bottom/>
      <diagonal/>
    </border>
    <border>
      <left/>
      <right/>
      <top/>
      <bottom style="thin">
        <color rgb="FFFFFFFF"/>
      </bottom>
      <diagonal/>
    </border>
    <border>
      <left/>
      <right/>
      <top/>
      <bottom style="thin">
        <color theme="0"/>
      </bottom>
      <diagonal/>
    </border>
    <border>
      <left/>
      <right style="medium">
        <color auto="1"/>
      </right>
      <top/>
      <bottom/>
      <diagonal/>
    </border>
  </borders>
  <cellStyleXfs count="87">
    <xf numFmtId="0" fontId="0" fillId="0" borderId="0"/>
    <xf numFmtId="43" fontId="44" fillId="0" borderId="0" applyFont="0" applyFill="0" applyBorder="0" applyAlignment="0" applyProtection="0"/>
    <xf numFmtId="43" fontId="5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4" fillId="0" borderId="0" applyFont="0" applyFill="0" applyBorder="0" applyAlignment="0" applyProtection="0"/>
    <xf numFmtId="44" fontId="12" fillId="0" borderId="0" applyFont="0" applyFill="0" applyBorder="0" applyProtection="0"/>
    <xf numFmtId="0" fontId="56"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4" fillId="0" borderId="0"/>
    <xf numFmtId="0" fontId="44" fillId="0" borderId="0"/>
    <xf numFmtId="0" fontId="19" fillId="0" borderId="0"/>
    <xf numFmtId="0" fontId="19" fillId="0" borderId="0"/>
    <xf numFmtId="0" fontId="3" fillId="0" borderId="0"/>
    <xf numFmtId="0" fontId="44" fillId="0" borderId="0"/>
    <xf numFmtId="0" fontId="8" fillId="0" borderId="0"/>
    <xf numFmtId="0" fontId="12" fillId="0" borderId="0"/>
    <xf numFmtId="0" fontId="19" fillId="0" borderId="0"/>
    <xf numFmtId="0" fontId="44" fillId="0" borderId="0"/>
    <xf numFmtId="0" fontId="44" fillId="0" borderId="0"/>
    <xf numFmtId="177" fontId="48" fillId="0" borderId="0"/>
    <xf numFmtId="0" fontId="12" fillId="0" borderId="0"/>
    <xf numFmtId="0" fontId="12" fillId="0" borderId="0"/>
    <xf numFmtId="0" fontId="44" fillId="0" borderId="0"/>
    <xf numFmtId="0" fontId="12" fillId="0" borderId="0"/>
    <xf numFmtId="9" fontId="2" fillId="0" borderId="0" applyFont="0" applyFill="0" applyBorder="0" applyAlignment="0" applyProtection="0"/>
    <xf numFmtId="9" fontId="44" fillId="0" borderId="0" applyFont="0" applyFill="0" applyBorder="0" applyAlignment="0" applyProtection="0"/>
    <xf numFmtId="9" fontId="12" fillId="0" borderId="0" applyFont="0" applyFill="0" applyBorder="0" applyAlignment="0" applyProtection="0"/>
    <xf numFmtId="9" fontId="56" fillId="0" borderId="0" applyFont="0" applyFill="0" applyBorder="0" applyAlignment="0" applyProtection="0"/>
    <xf numFmtId="0" fontId="2" fillId="0" borderId="0"/>
    <xf numFmtId="43" fontId="61" fillId="0" borderId="0" applyFont="0" applyFill="0" applyBorder="0" applyAlignment="0" applyProtection="0"/>
    <xf numFmtId="0" fontId="62" fillId="0" borderId="0" applyNumberFormat="0" applyFill="0" applyBorder="0" applyAlignment="0" applyProtection="0"/>
    <xf numFmtId="0" fontId="63" fillId="0" borderId="31" applyNumberFormat="0" applyFill="0" applyAlignment="0" applyProtection="0"/>
    <xf numFmtId="0" fontId="64" fillId="0" borderId="32" applyNumberFormat="0" applyFill="0" applyAlignment="0" applyProtection="0"/>
    <xf numFmtId="0" fontId="65" fillId="0" borderId="33" applyNumberFormat="0" applyFill="0" applyAlignment="0" applyProtection="0"/>
    <xf numFmtId="0" fontId="65" fillId="0" borderId="0" applyNumberFormat="0" applyFill="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0" applyNumberFormat="0" applyBorder="0" applyAlignment="0" applyProtection="0"/>
    <xf numFmtId="0" fontId="69" fillId="9" borderId="34" applyNumberFormat="0" applyAlignment="0" applyProtection="0"/>
    <xf numFmtId="0" fontId="70" fillId="10" borderId="35" applyNumberFormat="0" applyAlignment="0" applyProtection="0"/>
    <xf numFmtId="0" fontId="71" fillId="10" borderId="34" applyNumberFormat="0" applyAlignment="0" applyProtection="0"/>
    <xf numFmtId="0" fontId="72" fillId="0" borderId="36" applyNumberFormat="0" applyFill="0" applyAlignment="0" applyProtection="0"/>
    <xf numFmtId="0" fontId="73" fillId="11" borderId="37"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39" applyNumberFormat="0" applyFill="0" applyAlignment="0" applyProtection="0"/>
    <xf numFmtId="0" fontId="7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7" fillId="16" borderId="0" applyNumberFormat="0" applyBorder="0" applyAlignment="0" applyProtection="0"/>
    <xf numFmtId="0" fontId="7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7" fillId="20" borderId="0" applyNumberFormat="0" applyBorder="0" applyAlignment="0" applyProtection="0"/>
    <xf numFmtId="0" fontId="7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7" fillId="24" borderId="0" applyNumberFormat="0" applyBorder="0" applyAlignment="0" applyProtection="0"/>
    <xf numFmtId="0" fontId="7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7" fillId="28" borderId="0" applyNumberFormat="0" applyBorder="0" applyAlignment="0" applyProtection="0"/>
    <xf numFmtId="0" fontId="7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7" fillId="32" borderId="0" applyNumberFormat="0" applyBorder="0" applyAlignment="0" applyProtection="0"/>
    <xf numFmtId="0" fontId="7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7"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00" fillId="0" borderId="0" applyNumberFormat="0" applyFill="0" applyBorder="0" applyAlignment="0" applyProtection="0">
      <alignment vertical="top"/>
      <protection locked="0"/>
    </xf>
  </cellStyleXfs>
  <cellXfs count="1406">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2" fontId="2" fillId="0" borderId="0" xfId="0" applyNumberFormat="1" applyFont="1" applyAlignment="1">
      <alignment horizontal="center"/>
    </xf>
    <xf numFmtId="0" fontId="0" fillId="0" borderId="0" xfId="0" applyBorder="1"/>
    <xf numFmtId="3" fontId="3" fillId="0" borderId="0" xfId="0" applyNumberFormat="1" applyFont="1" applyAlignment="1">
      <alignment horizontal="right"/>
    </xf>
    <xf numFmtId="0" fontId="6" fillId="0" borderId="2" xfId="0" applyFont="1" applyBorder="1"/>
    <xf numFmtId="167" fontId="6" fillId="0" borderId="2" xfId="0" applyNumberFormat="1" applyFont="1" applyBorder="1"/>
    <xf numFmtId="164" fontId="3" fillId="0" borderId="0" xfId="0" applyNumberFormat="1" applyFont="1" applyBorder="1" applyAlignment="1">
      <alignment horizontal="right"/>
    </xf>
    <xf numFmtId="10" fontId="2" fillId="0" borderId="0" xfId="0" applyNumberFormat="1" applyFont="1" applyAlignment="1">
      <alignment horizontal="center"/>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7" fillId="0" borderId="0" xfId="0" applyNumberFormat="1" applyFont="1" applyAlignment="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37" fontId="8" fillId="0" borderId="0" xfId="16" applyNumberFormat="1" applyFont="1" applyProtection="1"/>
    <xf numFmtId="37" fontId="23" fillId="0" borderId="0" xfId="16" applyNumberFormat="1" applyFont="1" applyProtection="1"/>
    <xf numFmtId="0" fontId="23" fillId="0" borderId="0" xfId="16" applyFont="1"/>
    <xf numFmtId="0" fontId="32" fillId="0" borderId="0" xfId="16" applyFont="1"/>
    <xf numFmtId="0" fontId="33" fillId="0" borderId="0" xfId="16" applyFont="1"/>
    <xf numFmtId="0" fontId="34" fillId="0" borderId="0" xfId="16" applyFont="1" applyAlignment="1">
      <alignment horizontal="center"/>
    </xf>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39"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39"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12" fillId="0" borderId="0" xfId="0" applyNumberFormat="1" applyFont="1" applyAlignment="1"/>
    <xf numFmtId="0" fontId="22" fillId="0" borderId="0" xfId="0" applyNumberFormat="1" applyFont="1" applyAlignment="1"/>
    <xf numFmtId="0" fontId="2" fillId="0" borderId="0" xfId="0" applyFont="1"/>
    <xf numFmtId="0" fontId="40" fillId="0" borderId="0" xfId="0" applyFont="1" applyAlignment="1">
      <alignment horizontal="centerContinuous"/>
    </xf>
    <xf numFmtId="0" fontId="41" fillId="0" borderId="0" xfId="0" applyFont="1" applyAlignment="1">
      <alignment horizontal="centerContinuous"/>
    </xf>
    <xf numFmtId="0" fontId="21" fillId="0" borderId="0" xfId="0" applyFont="1"/>
    <xf numFmtId="0" fontId="34" fillId="0" borderId="0" xfId="0" applyFont="1"/>
    <xf numFmtId="0" fontId="21" fillId="0" borderId="0" xfId="0" applyFont="1" applyBorder="1"/>
    <xf numFmtId="0" fontId="21" fillId="0" borderId="0" xfId="0" applyFont="1" applyBorder="1" applyAlignment="1"/>
    <xf numFmtId="0" fontId="21" fillId="0" borderId="11" xfId="0" applyFont="1" applyBorder="1"/>
    <xf numFmtId="0" fontId="8" fillId="0" borderId="0" xfId="0" applyFont="1"/>
    <xf numFmtId="0" fontId="42" fillId="0" borderId="0" xfId="0" applyFont="1" applyAlignment="1"/>
    <xf numFmtId="0" fontId="43"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44" fillId="0" borderId="15" xfId="29" applyFont="1" applyFill="1" applyBorder="1" applyAlignment="1"/>
    <xf numFmtId="0" fontId="24" fillId="0" borderId="15" xfId="29" applyFont="1" applyFill="1" applyBorder="1" applyAlignment="1">
      <alignment horizontal="center"/>
    </xf>
    <xf numFmtId="0" fontId="44" fillId="0" borderId="0" xfId="29" applyFill="1" applyBorder="1" applyAlignment="1"/>
    <xf numFmtId="5" fontId="44" fillId="0" borderId="0" xfId="29" applyNumberFormat="1" applyFont="1" applyFill="1" applyBorder="1" applyAlignment="1"/>
    <xf numFmtId="5" fontId="44" fillId="0" borderId="0" xfId="29" applyNumberFormat="1" applyFont="1" applyFill="1" applyBorder="1" applyAlignment="1">
      <alignment horizontal="right"/>
    </xf>
    <xf numFmtId="0" fontId="44" fillId="0" borderId="0" xfId="29" applyFill="1" applyBorder="1" applyAlignment="1">
      <alignment horizontal="left"/>
    </xf>
    <xf numFmtId="37" fontId="44" fillId="0" borderId="0" xfId="29" applyNumberFormat="1" applyFont="1" applyFill="1" applyBorder="1" applyAlignment="1"/>
    <xf numFmtId="37" fontId="44" fillId="0" borderId="0" xfId="29" applyNumberFormat="1" applyFont="1" applyFill="1" applyBorder="1" applyAlignment="1">
      <alignment horizontal="right"/>
    </xf>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4" fillId="0" borderId="0" xfId="29" applyNumberFormat="1" applyFill="1" applyBorder="1" applyAlignment="1"/>
    <xf numFmtId="0" fontId="44" fillId="0" borderId="0" xfId="29" applyFont="1" applyFill="1" applyBorder="1" applyAlignment="1"/>
    <xf numFmtId="5" fontId="24" fillId="0" borderId="15" xfId="29" applyNumberFormat="1" applyFont="1" applyFill="1" applyBorder="1" applyAlignment="1"/>
    <xf numFmtId="0" fontId="0" fillId="0" borderId="0" xfId="0" applyNumberFormat="1" applyFont="1" applyAlignment="1"/>
    <xf numFmtId="0" fontId="45"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6"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167" fontId="17" fillId="0" borderId="15" xfId="22" applyNumberFormat="1" applyFont="1" applyFill="1" applyBorder="1" applyAlignment="1">
      <alignment horizontal="right" vertical="center"/>
    </xf>
    <xf numFmtId="176" fontId="17" fillId="0" borderId="15" xfId="22" applyNumberFormat="1" applyFont="1" applyFill="1" applyBorder="1" applyAlignment="1">
      <alignment horizontal="right" vertical="center"/>
    </xf>
    <xf numFmtId="3" fontId="12" fillId="5" borderId="0" xfId="32" applyNumberFormat="1" applyFont="1" applyFill="1" applyBorder="1"/>
    <xf numFmtId="3" fontId="12" fillId="5" borderId="0" xfId="32" applyNumberFormat="1" applyFont="1" applyFill="1"/>
    <xf numFmtId="0" fontId="12" fillId="5" borderId="0" xfId="32" applyFont="1" applyFill="1"/>
    <xf numFmtId="167" fontId="12" fillId="0" borderId="0" xfId="8" applyNumberFormat="1"/>
    <xf numFmtId="167" fontId="44" fillId="0" borderId="0" xfId="23" applyNumberFormat="1" applyFont="1" applyFill="1" applyBorder="1" applyAlignment="1">
      <alignment vertical="center"/>
    </xf>
    <xf numFmtId="3" fontId="44" fillId="0" borderId="0" xfId="23" applyNumberFormat="1" applyFont="1" applyFill="1" applyBorder="1" applyAlignment="1">
      <alignment vertical="center"/>
    </xf>
    <xf numFmtId="0" fontId="44" fillId="0" borderId="0" xfId="25"/>
    <xf numFmtId="0" fontId="22" fillId="0" borderId="0" xfId="25" applyFont="1" applyAlignment="1">
      <alignment horizontal="right"/>
    </xf>
    <xf numFmtId="0" fontId="44" fillId="0" borderId="0" xfId="25" applyAlignment="1"/>
    <xf numFmtId="0" fontId="44" fillId="0" borderId="0" xfId="25" applyAlignment="1">
      <alignment horizontal="right"/>
    </xf>
    <xf numFmtId="0" fontId="24" fillId="0" borderId="0" xfId="25" applyFont="1"/>
    <xf numFmtId="0" fontId="6" fillId="0" borderId="0" xfId="25" applyFont="1" applyAlignment="1"/>
    <xf numFmtId="0" fontId="44" fillId="0" borderId="0" xfId="25" applyAlignment="1">
      <alignment wrapText="1"/>
    </xf>
    <xf numFmtId="0" fontId="44"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4" fillId="0" borderId="0" xfId="25" applyNumberFormat="1" applyAlignment="1">
      <alignment horizontal="right"/>
    </xf>
    <xf numFmtId="167" fontId="44" fillId="0" borderId="0" xfId="25" applyNumberFormat="1"/>
    <xf numFmtId="3" fontId="44" fillId="0" borderId="0" xfId="25" applyNumberFormat="1"/>
    <xf numFmtId="0" fontId="0" fillId="0" borderId="0" xfId="25" applyFont="1" applyAlignment="1"/>
    <xf numFmtId="3" fontId="44" fillId="0" borderId="0" xfId="25" applyNumberFormat="1" applyFont="1"/>
    <xf numFmtId="0" fontId="44"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4" fillId="0" borderId="0" xfId="25" applyNumberFormat="1"/>
    <xf numFmtId="0" fontId="44"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4" fillId="0" borderId="0" xfId="25" applyNumberFormat="1" applyBorder="1" applyAlignment="1"/>
    <xf numFmtId="3" fontId="44" fillId="0" borderId="26" xfId="25" applyNumberFormat="1" applyBorder="1" applyAlignment="1"/>
    <xf numFmtId="0" fontId="44"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1"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1" fillId="0" borderId="0" xfId="21" applyFont="1" applyBorder="1"/>
    <xf numFmtId="3" fontId="12" fillId="0" borderId="0" xfId="21" applyNumberFormat="1" applyFont="1" applyFill="1"/>
    <xf numFmtId="0" fontId="51"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3"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1" fillId="0" borderId="0" xfId="21" applyNumberFormat="1" applyFont="1"/>
    <xf numFmtId="10" fontId="57" fillId="0" borderId="0" xfId="36" applyNumberFormat="1" applyFont="1"/>
    <xf numFmtId="3" fontId="20" fillId="0" borderId="0" xfId="28" applyNumberFormat="1" applyFont="1" applyFill="1"/>
    <xf numFmtId="0" fontId="23" fillId="0" borderId="0" xfId="10" applyFont="1"/>
    <xf numFmtId="0" fontId="30" fillId="0" borderId="0" xfId="0" applyFont="1"/>
    <xf numFmtId="0" fontId="38"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1" fillId="0" borderId="0" xfId="8" applyNumberFormat="1" applyFont="1" applyAlignment="1"/>
    <xf numFmtId="0" fontId="3" fillId="0" borderId="0" xfId="8" applyNumberFormat="1" applyFont="1" applyAlignment="1"/>
    <xf numFmtId="0" fontId="5" fillId="0" borderId="0" xfId="8" applyNumberFormat="1" applyFont="1" applyAlignment="1"/>
    <xf numFmtId="0" fontId="6" fillId="0" borderId="0" xfId="8" applyNumberFormat="1" applyFont="1" applyFill="1" applyAlignment="1">
      <alignment horizontal="center"/>
    </xf>
    <xf numFmtId="0" fontId="9" fillId="0" borderId="0" xfId="8" applyNumberFormat="1" applyFont="1" applyFill="1" applyAlignment="1">
      <alignment horizontal="left"/>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0" fontId="55"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10" fontId="12" fillId="0" borderId="0" xfId="8" applyNumberFormat="1" applyFont="1" applyFill="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10" fontId="0" fillId="0" borderId="0" xfId="36" applyNumberFormat="1" applyFont="1"/>
    <xf numFmtId="171" fontId="2" fillId="0" borderId="0" xfId="13" applyNumberFormat="1"/>
    <xf numFmtId="169" fontId="12" fillId="0" borderId="0" xfId="36" applyNumberFormat="1" applyFont="1" applyProtection="1"/>
    <xf numFmtId="0" fontId="21" fillId="0" borderId="0" xfId="0" applyFont="1" applyAlignment="1">
      <alignment vertical="center"/>
    </xf>
    <xf numFmtId="10" fontId="44" fillId="0" borderId="0" xfId="36" applyNumberFormat="1" applyFont="1" applyAlignment="1">
      <alignment horizontal="right"/>
    </xf>
    <xf numFmtId="169" fontId="12" fillId="0" borderId="8" xfId="14" applyNumberFormat="1" applyFont="1" applyFill="1" applyBorder="1" applyProtection="1"/>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0" xfId="0" applyFont="1" applyAlignment="1">
      <alignment vertical="center"/>
    </xf>
    <xf numFmtId="3" fontId="2" fillId="0" borderId="0" xfId="11" applyNumberFormat="1" applyFont="1" applyFill="1"/>
    <xf numFmtId="164" fontId="2" fillId="0" borderId="1" xfId="11" applyNumberFormat="1" applyFont="1" applyFill="1" applyBorder="1" applyAlignment="1"/>
    <xf numFmtId="37" fontId="44" fillId="0" borderId="0" xfId="29" applyNumberFormat="1" applyFill="1"/>
    <xf numFmtId="3" fontId="12" fillId="0" borderId="0" xfId="11" applyNumberFormat="1" applyFont="1" applyFill="1"/>
    <xf numFmtId="3" fontId="2" fillId="0" borderId="0" xfId="11" applyNumberFormat="1" applyFont="1" applyFill="1" applyBorder="1"/>
    <xf numFmtId="3" fontId="44" fillId="0" borderId="0" xfId="25" applyNumberFormat="1" applyFill="1" applyAlignment="1">
      <alignment horizontal="right"/>
    </xf>
    <xf numFmtId="3" fontId="44"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44" fontId="2" fillId="5" borderId="0" xfId="3" applyFont="1" applyFill="1"/>
    <xf numFmtId="169" fontId="2" fillId="5" borderId="0" xfId="36" applyNumberFormat="1" applyFont="1" applyFill="1"/>
    <xf numFmtId="0" fontId="17" fillId="0" borderId="0" xfId="0" applyFont="1" applyFill="1"/>
    <xf numFmtId="0" fontId="23" fillId="0" borderId="0" xfId="0" applyFont="1" applyFill="1"/>
    <xf numFmtId="3" fontId="2" fillId="0" borderId="0" xfId="0" applyNumberFormat="1" applyFont="1"/>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79" fillId="0" borderId="0" xfId="84" applyFont="1" applyFill="1" applyAlignment="1">
      <alignment horizontal="center"/>
    </xf>
    <xf numFmtId="0" fontId="79" fillId="0" borderId="0" xfId="84" applyFont="1" applyFill="1" applyAlignment="1">
      <alignment horizontal="right"/>
    </xf>
    <xf numFmtId="167" fontId="79" fillId="0" borderId="0" xfId="84" applyNumberFormat="1" applyFont="1" applyFill="1"/>
    <xf numFmtId="3" fontId="79" fillId="0" borderId="0" xfId="84" applyNumberFormat="1" applyFont="1" applyFill="1"/>
    <xf numFmtId="0" fontId="2" fillId="0" borderId="0" xfId="8" applyNumberFormat="1" applyFont="1" applyFill="1" applyAlignment="1"/>
    <xf numFmtId="0" fontId="80" fillId="0" borderId="0" xfId="0" applyNumberFormat="1" applyFont="1" applyAlignment="1"/>
    <xf numFmtId="2" fontId="80" fillId="0" borderId="0" xfId="0" applyNumberFormat="1" applyFont="1" applyFill="1" applyAlignment="1"/>
    <xf numFmtId="0" fontId="81" fillId="0" borderId="0" xfId="0" applyFont="1" applyBorder="1" applyAlignment="1">
      <alignment horizontal="center"/>
    </xf>
    <xf numFmtId="0" fontId="2" fillId="0" borderId="0" xfId="11" applyFont="1" applyFill="1"/>
    <xf numFmtId="0" fontId="2" fillId="0" borderId="0" xfId="11" applyFont="1" applyFill="1" applyBorder="1"/>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3" fontId="83" fillId="0" borderId="0" xfId="8" applyNumberFormat="1" applyFont="1" applyFill="1" applyAlignment="1"/>
    <xf numFmtId="0" fontId="83" fillId="0" borderId="0" xfId="8" applyFont="1" applyFill="1"/>
    <xf numFmtId="10" fontId="83" fillId="0" borderId="0" xfId="8" applyNumberFormat="1" applyFont="1" applyFill="1" applyAlignment="1">
      <alignment horizontal="right" vertical="center"/>
    </xf>
    <xf numFmtId="3" fontId="83"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0"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5" fontId="24" fillId="0" borderId="15" xfId="29" applyNumberFormat="1" applyFont="1" applyFill="1" applyBorder="1"/>
    <xf numFmtId="169" fontId="85"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176" fontId="2" fillId="0" borderId="0" xfId="22" applyNumberFormat="1" applyFont="1" applyFill="1" applyBorder="1" applyAlignment="1">
      <alignment horizontal="right" vertical="center"/>
    </xf>
    <xf numFmtId="0" fontId="12" fillId="0" borderId="0" xfId="14" applyFont="1" applyFill="1" applyAlignment="1" applyProtection="1">
      <alignment horizontal="left"/>
    </xf>
    <xf numFmtId="0" fontId="86" fillId="0" borderId="0" xfId="16" applyFont="1"/>
    <xf numFmtId="7" fontId="86" fillId="0" borderId="0" xfId="16" applyNumberFormat="1" applyFont="1"/>
    <xf numFmtId="10" fontId="86" fillId="0" borderId="0" xfId="36" applyNumberFormat="1" applyFont="1"/>
    <xf numFmtId="0" fontId="80" fillId="0" borderId="0" xfId="0" applyFont="1" applyBorder="1" applyAlignment="1">
      <alignment vertical="center" wrapText="1"/>
    </xf>
    <xf numFmtId="0" fontId="80" fillId="0" borderId="0" xfId="0" applyFont="1" applyBorder="1" applyAlignment="1">
      <alignment horizontal="left" vertical="center" wrapText="1"/>
    </xf>
    <xf numFmtId="3" fontId="80" fillId="0" borderId="0" xfId="40" applyNumberFormat="1" applyFont="1" applyFill="1" applyBorder="1" applyAlignment="1">
      <alignment horizontal="right" vertical="center"/>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0" fontId="82" fillId="0" borderId="0" xfId="8" applyFont="1" applyFill="1"/>
    <xf numFmtId="0" fontId="88" fillId="0" borderId="0" xfId="0" applyFont="1"/>
    <xf numFmtId="3" fontId="87" fillId="0" borderId="0" xfId="0" applyNumberFormat="1" applyFont="1" applyAlignment="1"/>
    <xf numFmtId="164" fontId="83" fillId="0" borderId="0" xfId="8" applyNumberFormat="1" applyFont="1" applyFill="1" applyAlignment="1"/>
    <xf numFmtId="0" fontId="83" fillId="0" borderId="0" xfId="8" applyNumberFormat="1" applyFont="1" applyFill="1" applyAlignment="1"/>
    <xf numFmtId="0" fontId="89" fillId="0" borderId="0" xfId="8" applyNumberFormat="1" applyFont="1" applyFill="1" applyAlignment="1"/>
    <xf numFmtId="0" fontId="87" fillId="0" borderId="9" xfId="16" applyFont="1" applyBorder="1"/>
    <xf numFmtId="4" fontId="3" fillId="0" borderId="0" xfId="8" applyNumberFormat="1" applyFont="1" applyFill="1" applyAlignment="1"/>
    <xf numFmtId="0" fontId="90" fillId="0" borderId="0" xfId="14" applyFont="1" applyBorder="1" applyAlignment="1" applyProtection="1">
      <alignment horizontal="left"/>
    </xf>
    <xf numFmtId="5" fontId="12" fillId="0" borderId="0" xfId="16" applyNumberFormat="1" applyFont="1" applyAlignment="1" applyProtection="1">
      <alignment horizontal="right"/>
    </xf>
    <xf numFmtId="0" fontId="23" fillId="0" borderId="0" xfId="16" applyFont="1" applyProtection="1"/>
    <xf numFmtId="0" fontId="54"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92" fillId="3" borderId="0" xfId="16" applyFont="1" applyFill="1" applyAlignment="1" applyProtection="1">
      <alignment horizontal="center"/>
    </xf>
    <xf numFmtId="0" fontId="25" fillId="3" borderId="0" xfId="16" applyFont="1" applyFill="1" applyAlignment="1">
      <alignment horizontal="center"/>
    </xf>
    <xf numFmtId="5" fontId="92" fillId="3" borderId="0" xfId="16" applyNumberFormat="1" applyFont="1" applyFill="1" applyAlignment="1" applyProtection="1">
      <alignment horizontal="center"/>
    </xf>
    <xf numFmtId="0" fontId="25" fillId="0" borderId="0" xfId="16" applyFont="1" applyAlignment="1">
      <alignment horizontal="center"/>
    </xf>
    <xf numFmtId="0" fontId="92" fillId="3" borderId="9" xfId="16" applyFont="1" applyFill="1" applyBorder="1" applyAlignment="1" applyProtection="1">
      <alignment horizontal="center"/>
    </xf>
    <xf numFmtId="0" fontId="92" fillId="3" borderId="9" xfId="16" applyFont="1" applyFill="1" applyBorder="1" applyAlignment="1">
      <alignment horizontal="center"/>
    </xf>
    <xf numFmtId="0" fontId="25" fillId="0" borderId="9" xfId="16" applyFont="1" applyBorder="1" applyAlignment="1">
      <alignment horizontal="center"/>
    </xf>
    <xf numFmtId="0" fontId="91" fillId="0" borderId="0" xfId="0" applyFont="1"/>
    <xf numFmtId="2" fontId="5" fillId="0" borderId="0" xfId="8" applyNumberFormat="1" applyFont="1" applyFill="1" applyBorder="1" applyAlignment="1"/>
    <xf numFmtId="3" fontId="80" fillId="0" borderId="0" xfId="22" applyNumberFormat="1" applyFont="1" applyFill="1" applyBorder="1" applyAlignment="1">
      <alignment horizontal="right" vertical="center"/>
    </xf>
    <xf numFmtId="0" fontId="2" fillId="0" borderId="0" xfId="0" applyFont="1" applyBorder="1"/>
    <xf numFmtId="0" fontId="57" fillId="0" borderId="0" xfId="0" applyNumberFormat="1" applyFont="1" applyAlignment="1"/>
    <xf numFmtId="0" fontId="58" fillId="0" borderId="0" xfId="8" applyNumberFormat="1" applyFont="1" applyAlignment="1"/>
    <xf numFmtId="0" fontId="89" fillId="0" borderId="0" xfId="0" applyNumberFormat="1" applyFont="1" applyAlignment="1"/>
    <xf numFmtId="3" fontId="80" fillId="0" borderId="0" xfId="11" applyNumberFormat="1" applyFont="1" applyFill="1"/>
    <xf numFmtId="167" fontId="80" fillId="0" borderId="0" xfId="11" applyNumberFormat="1" applyFont="1" applyFill="1"/>
    <xf numFmtId="0" fontId="84" fillId="0" borderId="0" xfId="11" applyNumberFormat="1" applyFont="1" applyFill="1" applyAlignment="1"/>
    <xf numFmtId="164" fontId="95" fillId="0" borderId="6" xfId="11" applyNumberFormat="1" applyFont="1" applyFill="1" applyBorder="1" applyAlignment="1">
      <alignment horizontal="center"/>
    </xf>
    <xf numFmtId="164" fontId="95" fillId="0" borderId="0" xfId="11" applyNumberFormat="1" applyFont="1" applyFill="1" applyAlignment="1">
      <alignment horizontal="center"/>
    </xf>
    <xf numFmtId="0" fontId="80" fillId="0" borderId="18" xfId="11" applyNumberFormat="1" applyFont="1" applyFill="1" applyBorder="1" applyAlignment="1"/>
    <xf numFmtId="0" fontId="84" fillId="0" borderId="0" xfId="11" applyNumberFormat="1" applyFont="1" applyFill="1" applyBorder="1" applyAlignment="1"/>
    <xf numFmtId="0" fontId="84" fillId="0" borderId="18" xfId="11" applyNumberFormat="1" applyFont="1" applyFill="1" applyBorder="1" applyAlignment="1"/>
    <xf numFmtId="164" fontId="96" fillId="0" borderId="6" xfId="11" applyNumberFormat="1" applyFont="1" applyFill="1" applyBorder="1" applyAlignment="1">
      <alignment horizontal="center"/>
    </xf>
    <xf numFmtId="3" fontId="80" fillId="0" borderId="0" xfId="11" applyNumberFormat="1" applyFont="1" applyFill="1" applyBorder="1"/>
    <xf numFmtId="167" fontId="95" fillId="0" borderId="15" xfId="11" applyNumberFormat="1" applyFont="1" applyFill="1" applyBorder="1"/>
    <xf numFmtId="0" fontId="80" fillId="0" borderId="0" xfId="11" applyNumberFormat="1" applyFont="1" applyFill="1" applyBorder="1" applyAlignment="1"/>
    <xf numFmtId="0" fontId="84" fillId="0" borderId="19" xfId="11" applyFont="1" applyFill="1" applyBorder="1"/>
    <xf numFmtId="3" fontId="97" fillId="0" borderId="0" xfId="11" applyNumberFormat="1" applyFont="1" applyFill="1" applyBorder="1"/>
    <xf numFmtId="3" fontId="84" fillId="0" borderId="0" xfId="11" applyNumberFormat="1" applyFont="1" applyFill="1" applyBorder="1"/>
    <xf numFmtId="3" fontId="84" fillId="0" borderId="0" xfId="11" applyNumberFormat="1" applyFont="1" applyFill="1"/>
    <xf numFmtId="3" fontId="80" fillId="0" borderId="0" xfId="23" applyNumberFormat="1" applyFont="1" applyFill="1" applyBorder="1" applyAlignment="1">
      <alignment vertical="center"/>
    </xf>
    <xf numFmtId="0" fontId="83"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3" fontId="94" fillId="0" borderId="0" xfId="28" applyNumberFormat="1" applyFont="1" applyFill="1"/>
    <xf numFmtId="3" fontId="80" fillId="5" borderId="0" xfId="38" applyNumberFormat="1" applyFont="1" applyFill="1"/>
    <xf numFmtId="0" fontId="101" fillId="0" borderId="0" xfId="0" applyFont="1"/>
    <xf numFmtId="0" fontId="100" fillId="0" borderId="0" xfId="86" applyAlignment="1" applyProtection="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9" fontId="2" fillId="0" borderId="0" xfId="14" applyNumberFormat="1" applyFont="1" applyProtection="1"/>
    <xf numFmtId="174" fontId="2" fillId="0" borderId="0" xfId="14" applyNumberFormat="1" applyFont="1" applyProtection="1"/>
    <xf numFmtId="164" fontId="103" fillId="0" borderId="0" xfId="11" applyNumberFormat="1" applyFont="1" applyFill="1" applyAlignment="1"/>
    <xf numFmtId="179" fontId="44" fillId="0" borderId="0" xfId="41" applyNumberFormat="1" applyFont="1" applyAlignment="1">
      <alignment horizontal="right"/>
    </xf>
    <xf numFmtId="167" fontId="0" fillId="0" borderId="0" xfId="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9" fontId="17" fillId="0" borderId="0" xfId="14" applyNumberFormat="1" applyFont="1" applyBorder="1" applyProtection="1"/>
    <xf numFmtId="2" fontId="80" fillId="0" borderId="0" xfId="0" applyNumberFormat="1" applyFont="1" applyAlignment="1"/>
    <xf numFmtId="2" fontId="102" fillId="0" borderId="0" xfId="0" applyNumberFormat="1" applyFont="1" applyAlignment="1"/>
    <xf numFmtId="0" fontId="83" fillId="0" borderId="0" xfId="8" applyNumberFormat="1" applyFont="1" applyAlignment="1"/>
    <xf numFmtId="37" fontId="44" fillId="0" borderId="50" xfId="29" applyNumberFormat="1" applyFont="1" applyFill="1" applyBorder="1" applyAlignment="1"/>
    <xf numFmtId="0" fontId="2" fillId="0" borderId="0" xfId="0" applyNumberFormat="1" applyFont="1" applyFill="1" applyBorder="1" applyAlignment="1"/>
    <xf numFmtId="0" fontId="87" fillId="0" borderId="0" xfId="14" applyFont="1" applyProtection="1"/>
    <xf numFmtId="0" fontId="17" fillId="0" borderId="51" xfId="14" applyFont="1" applyBorder="1" applyAlignment="1" applyProtection="1">
      <alignment horizontal="left"/>
    </xf>
    <xf numFmtId="3" fontId="17" fillId="0" borderId="51" xfId="14" applyNumberFormat="1" applyFont="1" applyBorder="1" applyProtection="1"/>
    <xf numFmtId="167" fontId="17" fillId="0" borderId="51" xfId="14" applyNumberFormat="1" applyFont="1" applyBorder="1" applyProtection="1"/>
    <xf numFmtId="37" fontId="17" fillId="0" borderId="52" xfId="14" applyNumberFormat="1" applyFont="1" applyBorder="1" applyProtection="1"/>
    <xf numFmtId="169" fontId="17" fillId="0" borderId="51" xfId="36" applyNumberFormat="1" applyFont="1" applyBorder="1" applyProtection="1"/>
    <xf numFmtId="9" fontId="17" fillId="0" borderId="53" xfId="14" applyNumberFormat="1" applyFont="1" applyBorder="1" applyProtection="1"/>
    <xf numFmtId="0" fontId="6" fillId="0" borderId="0" xfId="14" applyFont="1" applyBorder="1" applyAlignment="1" applyProtection="1">
      <alignment horizontal="left"/>
    </xf>
    <xf numFmtId="37" fontId="25" fillId="0" borderId="54" xfId="14" applyNumberFormat="1" applyFont="1" applyBorder="1" applyProtection="1"/>
    <xf numFmtId="0" fontId="87" fillId="0" borderId="0" xfId="0" applyNumberFormat="1" applyFont="1" applyAlignment="1"/>
    <xf numFmtId="3" fontId="22" fillId="0" borderId="0" xfId="35" applyNumberFormat="1" applyFont="1" applyFill="1" applyAlignment="1"/>
    <xf numFmtId="0" fontId="12" fillId="0" borderId="0" xfId="35" applyNumberFormat="1" applyFont="1" applyFill="1" applyAlignment="1"/>
    <xf numFmtId="0" fontId="20" fillId="0" borderId="0" xfId="22" applyFont="1" applyFill="1"/>
    <xf numFmtId="3" fontId="6" fillId="0" borderId="0" xfId="35" applyNumberFormat="1" applyFont="1" applyFill="1" applyAlignment="1"/>
    <xf numFmtId="0" fontId="20" fillId="0" borderId="16" xfId="22" applyFont="1" applyFill="1" applyBorder="1"/>
    <xf numFmtId="0" fontId="6" fillId="0" borderId="16" xfId="35" applyNumberFormat="1" applyFont="1" applyFill="1" applyBorder="1" applyAlignment="1"/>
    <xf numFmtId="0" fontId="6" fillId="0" borderId="16" xfId="35" applyNumberFormat="1" applyFont="1" applyFill="1" applyBorder="1" applyAlignment="1">
      <alignment horizontal="center"/>
    </xf>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3" fontId="6" fillId="0" borderId="1" xfId="35" applyNumberFormat="1" applyFont="1" applyFill="1" applyBorder="1" applyAlignment="1">
      <alignment horizontal="center"/>
    </xf>
    <xf numFmtId="0" fontId="6" fillId="0" borderId="1" xfId="35" applyNumberFormat="1" applyFont="1" applyFill="1" applyBorder="1" applyAlignment="1">
      <alignment horizontal="center"/>
    </xf>
    <xf numFmtId="3" fontId="6" fillId="0" borderId="1" xfId="35" applyNumberFormat="1" applyFont="1" applyFill="1" applyBorder="1" applyAlignment="1">
      <alignment horizontal="right"/>
    </xf>
    <xf numFmtId="0" fontId="20" fillId="0" borderId="0" xfId="22" applyFont="1" applyFill="1" applyBorder="1"/>
    <xf numFmtId="3" fontId="12" fillId="0" borderId="0" xfId="35" applyNumberFormat="1" applyFont="1" applyFill="1" applyBorder="1" applyAlignment="1"/>
    <xf numFmtId="3" fontId="6" fillId="0" borderId="0" xfId="35" applyNumberFormat="1" applyFont="1" applyFill="1" applyBorder="1" applyAlignment="1">
      <alignment horizontal="right"/>
    </xf>
    <xf numFmtId="164" fontId="6" fillId="0" borderId="0" xfId="35" applyNumberFormat="1" applyFont="1" applyFill="1" applyBorder="1" applyAlignment="1">
      <alignment horizontal="right"/>
    </xf>
    <xf numFmtId="10" fontId="6" fillId="0" borderId="0" xfId="35" applyNumberFormat="1" applyFont="1" applyFill="1" applyBorder="1" applyAlignment="1">
      <alignment horizontal="right"/>
    </xf>
    <xf numFmtId="10" fontId="6" fillId="0" borderId="0" xfId="36" applyNumberFormat="1" applyFont="1" applyFill="1" applyBorder="1" applyAlignment="1">
      <alignment horizontal="right"/>
    </xf>
    <xf numFmtId="178" fontId="6" fillId="0" borderId="0" xfId="36" applyNumberFormat="1" applyFont="1" applyFill="1" applyBorder="1" applyAlignment="1">
      <alignment horizontal="right"/>
    </xf>
    <xf numFmtId="0" fontId="6" fillId="0" borderId="0" xfId="35" applyNumberFormat="1" applyFont="1" applyFill="1" applyAlignment="1"/>
    <xf numFmtId="3" fontId="6" fillId="0" borderId="0" xfId="35" applyNumberFormat="1" applyFont="1" applyFill="1" applyAlignment="1">
      <alignment horizontal="right"/>
    </xf>
    <xf numFmtId="164" fontId="6" fillId="0" borderId="0" xfId="35" applyNumberFormat="1" applyFont="1" applyFill="1" applyAlignment="1">
      <alignment horizontal="right"/>
    </xf>
    <xf numFmtId="10" fontId="6" fillId="0" borderId="0" xfId="35" applyNumberFormat="1" applyFont="1" applyFill="1" applyAlignment="1">
      <alignment horizontal="right"/>
    </xf>
    <xf numFmtId="169" fontId="12" fillId="0" borderId="0" xfId="35" applyNumberFormat="1" applyFont="1" applyFill="1" applyAlignment="1"/>
    <xf numFmtId="3" fontId="12" fillId="0" borderId="0" xfId="35" applyNumberFormat="1" applyFont="1" applyFill="1" applyAlignment="1"/>
    <xf numFmtId="0" fontId="12" fillId="0" borderId="0" xfId="35" applyNumberFormat="1" applyFill="1"/>
    <xf numFmtId="0" fontId="2" fillId="0" borderId="0" xfId="35" applyNumberFormat="1" applyFont="1" applyFill="1" applyAlignment="1"/>
    <xf numFmtId="3" fontId="12" fillId="0" borderId="0" xfId="35" applyNumberFormat="1" applyFill="1"/>
    <xf numFmtId="167" fontId="20" fillId="0" borderId="0" xfId="22" applyNumberFormat="1" applyFont="1" applyFill="1"/>
    <xf numFmtId="0" fontId="22" fillId="0" borderId="0" xfId="35" applyNumberFormat="1" applyFont="1" applyFill="1" applyAlignment="1"/>
    <xf numFmtId="0" fontId="6" fillId="0" borderId="16" xfId="35" applyNumberFormat="1" applyFont="1" applyFill="1" applyBorder="1" applyAlignment="1">
      <alignment horizontal="right"/>
    </xf>
    <xf numFmtId="0" fontId="6" fillId="0" borderId="0" xfId="35" applyNumberFormat="1" applyFont="1" applyFill="1" applyBorder="1" applyAlignment="1">
      <alignment horizontal="right"/>
    </xf>
    <xf numFmtId="0" fontId="6" fillId="0" borderId="1" xfId="35" applyNumberFormat="1" applyFont="1" applyFill="1" applyBorder="1" applyAlignment="1">
      <alignment horizontal="right"/>
    </xf>
    <xf numFmtId="167" fontId="12" fillId="0" borderId="0" xfId="35" applyNumberFormat="1" applyFont="1" applyFill="1" applyAlignment="1"/>
    <xf numFmtId="0" fontId="93" fillId="0" borderId="0" xfId="22" applyFont="1" applyFill="1"/>
    <xf numFmtId="0" fontId="12" fillId="0" borderId="0" xfId="35" applyNumberFormat="1" applyFont="1" applyFill="1" applyAlignment="1">
      <alignment horizontal="right"/>
    </xf>
    <xf numFmtId="0" fontId="105" fillId="0" borderId="0" xfId="22" applyFont="1" applyFill="1"/>
    <xf numFmtId="0" fontId="12" fillId="0" borderId="0" xfId="35" applyFill="1"/>
    <xf numFmtId="0" fontId="94" fillId="0" borderId="0" xfId="22" applyFont="1" applyFill="1"/>
    <xf numFmtId="167" fontId="95" fillId="0" borderId="0" xfId="11" applyNumberFormat="1" applyFont="1" applyFill="1"/>
    <xf numFmtId="179" fontId="20" fillId="0" borderId="0" xfId="41" applyNumberFormat="1" applyFont="1" applyFill="1"/>
    <xf numFmtId="3" fontId="2" fillId="0" borderId="0" xfId="11" applyNumberFormat="1" applyFont="1" applyFill="1" applyAlignment="1"/>
    <xf numFmtId="3" fontId="80" fillId="0" borderId="0" xfId="11" applyNumberFormat="1" applyFont="1" applyFill="1" applyAlignment="1"/>
    <xf numFmtId="0" fontId="80" fillId="0" borderId="0" xfId="11" applyNumberFormat="1" applyFont="1" applyFill="1" applyAlignment="1"/>
    <xf numFmtId="3" fontId="80" fillId="0" borderId="0" xfId="11" applyNumberFormat="1" applyFont="1" applyFill="1" applyBorder="1" applyAlignment="1"/>
    <xf numFmtId="3" fontId="6"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7" fillId="0" borderId="20" xfId="11" applyNumberFormat="1" applyFont="1" applyFill="1" applyBorder="1" applyAlignment="1"/>
    <xf numFmtId="0" fontId="17" fillId="0" borderId="21" xfId="11" applyNumberFormat="1" applyFont="1" applyFill="1" applyBorder="1" applyAlignment="1">
      <alignment horizontal="center"/>
    </xf>
    <xf numFmtId="3" fontId="17" fillId="0" borderId="21" xfId="11" applyNumberFormat="1" applyFont="1" applyFill="1" applyBorder="1" applyAlignment="1">
      <alignment horizontal="center"/>
    </xf>
    <xf numFmtId="0" fontId="95" fillId="0" borderId="20" xfId="11" applyNumberFormat="1" applyFont="1" applyFill="1" applyBorder="1" applyAlignment="1">
      <alignment horizontal="left"/>
    </xf>
    <xf numFmtId="0" fontId="95" fillId="0" borderId="20" xfId="11" applyNumberFormat="1" applyFont="1" applyFill="1" applyBorder="1" applyAlignment="1">
      <alignment horizontal="center"/>
    </xf>
    <xf numFmtId="0" fontId="83" fillId="0" borderId="20" xfId="11" applyNumberFormat="1" applyFont="1" applyFill="1" applyBorder="1" applyAlignment="1">
      <alignment horizontal="left"/>
    </xf>
    <xf numFmtId="0" fontId="17" fillId="0" borderId="13" xfId="11" applyNumberFormat="1" applyFont="1" applyFill="1" applyBorder="1" applyAlignment="1">
      <alignment horizontal="center"/>
    </xf>
    <xf numFmtId="3" fontId="17" fillId="0" borderId="13" xfId="11" applyNumberFormat="1" applyFont="1" applyFill="1" applyBorder="1" applyAlignment="1"/>
    <xf numFmtId="0" fontId="17" fillId="0" borderId="13" xfId="11" applyNumberFormat="1" applyFont="1" applyFill="1" applyBorder="1" applyAlignment="1"/>
    <xf numFmtId="3" fontId="17" fillId="0" borderId="22" xfId="11" applyNumberFormat="1" applyFont="1" applyFill="1" applyBorder="1" applyAlignment="1"/>
    <xf numFmtId="3" fontId="17" fillId="0" borderId="13" xfId="11" applyNumberFormat="1" applyFont="1" applyFill="1" applyBorder="1" applyAlignment="1">
      <alignment horizontal="center"/>
    </xf>
    <xf numFmtId="3" fontId="17" fillId="0" borderId="23" xfId="11" applyNumberFormat="1" applyFont="1" applyFill="1" applyBorder="1" applyAlignment="1">
      <alignment horizontal="center"/>
    </xf>
    <xf numFmtId="3" fontId="95" fillId="0" borderId="13" xfId="11" applyNumberFormat="1" applyFont="1" applyFill="1" applyBorder="1" applyAlignment="1">
      <alignment horizontal="center"/>
    </xf>
    <xf numFmtId="0" fontId="95" fillId="0" borderId="13" xfId="11" applyNumberFormat="1" applyFont="1" applyFill="1" applyBorder="1" applyAlignment="1">
      <alignment horizontal="center"/>
    </xf>
    <xf numFmtId="3" fontId="17" fillId="0" borderId="1" xfId="11" applyNumberFormat="1" applyFont="1" applyFill="1" applyBorder="1" applyAlignment="1">
      <alignment horizontal="center"/>
    </xf>
    <xf numFmtId="3" fontId="17" fillId="0" borderId="24" xfId="11" applyNumberFormat="1" applyFont="1" applyFill="1" applyBorder="1" applyAlignment="1">
      <alignment horizontal="center"/>
    </xf>
    <xf numFmtId="3" fontId="17" fillId="0" borderId="25" xfId="11" applyNumberFormat="1" applyFont="1" applyFill="1" applyBorder="1" applyAlignment="1">
      <alignment horizontal="center"/>
    </xf>
    <xf numFmtId="3" fontId="95" fillId="0" borderId="1" xfId="11" applyNumberFormat="1" applyFont="1" applyFill="1" applyBorder="1" applyAlignment="1">
      <alignment horizontal="center"/>
    </xf>
    <xf numFmtId="0" fontId="95" fillId="0" borderId="1" xfId="11" applyNumberFormat="1" applyFont="1" applyFill="1" applyBorder="1" applyAlignment="1">
      <alignment horizontal="center"/>
    </xf>
    <xf numFmtId="3" fontId="2" fillId="0" borderId="26" xfId="11" applyNumberFormat="1" applyFont="1" applyFill="1" applyBorder="1" applyAlignment="1"/>
    <xf numFmtId="3" fontId="2" fillId="0" borderId="27" xfId="11" applyNumberFormat="1" applyFont="1" applyFill="1" applyBorder="1" applyAlignment="1"/>
    <xf numFmtId="167" fontId="2" fillId="0" borderId="0" xfId="11" applyNumberFormat="1" applyFont="1" applyFill="1" applyBorder="1"/>
    <xf numFmtId="3" fontId="2" fillId="0" borderId="26" xfId="11" applyNumberFormat="1" applyFont="1" applyFill="1" applyBorder="1"/>
    <xf numFmtId="3" fontId="2" fillId="0" borderId="27" xfId="11" applyNumberFormat="1" applyFont="1" applyFill="1" applyBorder="1"/>
    <xf numFmtId="0" fontId="6" fillId="0" borderId="0" xfId="11" applyNumberFormat="1" applyFont="1" applyFill="1" applyBorder="1" applyAlignment="1"/>
    <xf numFmtId="3" fontId="49" fillId="0" borderId="0" xfId="11" applyNumberFormat="1" applyFont="1" applyFill="1" applyBorder="1" applyAlignment="1"/>
    <xf numFmtId="3" fontId="57" fillId="0" borderId="0" xfId="11" applyNumberFormat="1" applyFont="1" applyFill="1" applyBorder="1" applyAlignment="1"/>
    <xf numFmtId="0" fontId="17" fillId="0" borderId="0" xfId="11" applyNumberFormat="1" applyFont="1" applyFill="1" applyBorder="1" applyAlignment="1">
      <alignment horizontal="center"/>
    </xf>
    <xf numFmtId="3" fontId="17" fillId="0" borderId="0" xfId="11" applyNumberFormat="1" applyFont="1" applyFill="1" applyBorder="1" applyAlignment="1"/>
    <xf numFmtId="3" fontId="17" fillId="0" borderId="26" xfId="11" applyNumberFormat="1" applyFont="1" applyFill="1" applyBorder="1" applyAlignment="1"/>
    <xf numFmtId="3" fontId="17" fillId="0" borderId="0" xfId="11" applyNumberFormat="1" applyFont="1" applyFill="1" applyBorder="1" applyAlignment="1">
      <alignment horizontal="center"/>
    </xf>
    <xf numFmtId="3" fontId="17" fillId="0" borderId="27" xfId="11" applyNumberFormat="1" applyFont="1" applyFill="1" applyBorder="1" applyAlignment="1">
      <alignment horizontal="center"/>
    </xf>
    <xf numFmtId="3" fontId="95" fillId="0" borderId="0" xfId="11" applyNumberFormat="1" applyFont="1" applyFill="1" applyBorder="1" applyAlignment="1">
      <alignment horizontal="center"/>
    </xf>
    <xf numFmtId="3" fontId="80" fillId="0" borderId="0" xfId="11" applyNumberFormat="1" applyFont="1" applyFill="1" applyAlignment="1">
      <alignment horizontal="right"/>
    </xf>
    <xf numFmtId="3" fontId="17" fillId="0" borderId="26" xfId="11" applyNumberFormat="1" applyFont="1" applyFill="1" applyBorder="1" applyAlignment="1">
      <alignment horizontal="center"/>
    </xf>
    <xf numFmtId="3" fontId="80" fillId="0" borderId="26" xfId="11" applyNumberFormat="1" applyFont="1" applyFill="1" applyBorder="1"/>
    <xf numFmtId="3" fontId="80" fillId="0" borderId="27" xfId="11" applyNumberFormat="1" applyFont="1" applyFill="1" applyBorder="1"/>
    <xf numFmtId="3" fontId="2" fillId="0" borderId="1" xfId="11" applyNumberFormat="1" applyFont="1" applyFill="1" applyBorder="1"/>
    <xf numFmtId="3" fontId="2" fillId="0" borderId="24" xfId="11" applyNumberFormat="1" applyFont="1" applyFill="1" applyBorder="1"/>
    <xf numFmtId="3" fontId="2" fillId="0" borderId="25" xfId="11" applyNumberFormat="1" applyFont="1" applyFill="1" applyBorder="1"/>
    <xf numFmtId="3" fontId="80" fillId="0" borderId="1" xfId="11" applyNumberFormat="1" applyFont="1" applyFill="1" applyBorder="1"/>
    <xf numFmtId="3" fontId="3" fillId="0" borderId="0" xfId="11" applyNumberFormat="1" applyFill="1"/>
    <xf numFmtId="3" fontId="17" fillId="0" borderId="15" xfId="11" applyNumberFormat="1" applyFont="1" applyFill="1" applyBorder="1"/>
    <xf numFmtId="167" fontId="17" fillId="0" borderId="28" xfId="11" applyNumberFormat="1" applyFont="1" applyFill="1" applyBorder="1"/>
    <xf numFmtId="3" fontId="17" fillId="0" borderId="29" xfId="11" applyNumberFormat="1" applyFont="1" applyFill="1" applyBorder="1"/>
    <xf numFmtId="3" fontId="17" fillId="0" borderId="28" xfId="11" applyNumberFormat="1" applyFont="1" applyFill="1" applyBorder="1"/>
    <xf numFmtId="3" fontId="95" fillId="0" borderId="15" xfId="11" applyNumberFormat="1" applyFont="1" applyFill="1" applyBorder="1"/>
    <xf numFmtId="3" fontId="95" fillId="0" borderId="0" xfId="11" applyNumberFormat="1" applyFont="1" applyFill="1" applyBorder="1" applyAlignment="1"/>
    <xf numFmtId="3" fontId="2" fillId="0" borderId="13" xfId="11" applyNumberFormat="1" applyFont="1" applyFill="1" applyBorder="1" applyAlignment="1"/>
    <xf numFmtId="3" fontId="2" fillId="0" borderId="22" xfId="11" applyNumberFormat="1" applyFont="1" applyFill="1" applyBorder="1" applyAlignment="1"/>
    <xf numFmtId="3" fontId="2" fillId="0" borderId="23" xfId="11" applyNumberFormat="1" applyFont="1" applyFill="1" applyBorder="1" applyAlignment="1"/>
    <xf numFmtId="3" fontId="80" fillId="0" borderId="13" xfId="11" applyNumberFormat="1" applyFont="1" applyFill="1" applyBorder="1" applyAlignment="1"/>
    <xf numFmtId="0" fontId="2" fillId="0" borderId="1" xfId="11" applyNumberFormat="1" applyFont="1" applyFill="1" applyBorder="1" applyAlignment="1"/>
    <xf numFmtId="0" fontId="2" fillId="0" borderId="25" xfId="11" applyNumberFormat="1" applyFont="1" applyFill="1" applyBorder="1" applyAlignment="1"/>
    <xf numFmtId="0" fontId="2" fillId="0" borderId="24" xfId="11" applyNumberFormat="1" applyFont="1" applyFill="1" applyBorder="1" applyAlignment="1"/>
    <xf numFmtId="0" fontId="80" fillId="0" borderId="1" xfId="11" applyNumberFormat="1" applyFont="1" applyFill="1" applyBorder="1" applyAlignment="1"/>
    <xf numFmtId="3" fontId="80" fillId="0" borderId="1" xfId="11" applyNumberFormat="1" applyFont="1" applyFill="1" applyBorder="1" applyAlignment="1"/>
    <xf numFmtId="3" fontId="17" fillId="0" borderId="0" xfId="11" applyNumberFormat="1" applyFont="1" applyFill="1" applyBorder="1"/>
    <xf numFmtId="167" fontId="17" fillId="0" borderId="25" xfId="11" applyNumberFormat="1" applyFont="1" applyFill="1" applyBorder="1"/>
    <xf numFmtId="167" fontId="17" fillId="0" borderId="13" xfId="11" applyNumberFormat="1" applyFont="1" applyFill="1" applyBorder="1"/>
    <xf numFmtId="3" fontId="17" fillId="0" borderId="26" xfId="11" applyNumberFormat="1" applyFont="1" applyFill="1" applyBorder="1"/>
    <xf numFmtId="167" fontId="17" fillId="0" borderId="0" xfId="11" applyNumberFormat="1" applyFont="1" applyFill="1" applyBorder="1"/>
    <xf numFmtId="3" fontId="17" fillId="0" borderId="27" xfId="11" applyNumberFormat="1" applyFont="1" applyFill="1" applyBorder="1"/>
    <xf numFmtId="3" fontId="95" fillId="0" borderId="0" xfId="11" applyNumberFormat="1" applyFont="1" applyFill="1" applyBorder="1"/>
    <xf numFmtId="0" fontId="23" fillId="0" borderId="0" xfId="11" applyFont="1" applyFill="1"/>
    <xf numFmtId="0" fontId="84" fillId="0" borderId="0" xfId="11" applyFont="1" applyFill="1"/>
    <xf numFmtId="0" fontId="83" fillId="0" borderId="0" xfId="11" applyFont="1" applyFill="1"/>
    <xf numFmtId="3" fontId="22" fillId="0" borderId="0" xfId="11" applyNumberFormat="1" applyFont="1" applyFill="1" applyAlignment="1"/>
    <xf numFmtId="3" fontId="12" fillId="0" borderId="0" xfId="11" applyNumberFormat="1" applyFont="1" applyFill="1" applyAlignment="1"/>
    <xf numFmtId="3" fontId="12" fillId="0" borderId="0" xfId="11" applyNumberFormat="1" applyFont="1" applyFill="1" applyBorder="1" applyAlignment="1"/>
    <xf numFmtId="3" fontId="24" fillId="0" borderId="16" xfId="11" applyNumberFormat="1" applyFont="1" applyFill="1" applyBorder="1" applyAlignment="1">
      <alignment horizontal="center"/>
    </xf>
    <xf numFmtId="3" fontId="24" fillId="0" borderId="1" xfId="11" applyNumberFormat="1" applyFont="1" applyFill="1" applyBorder="1" applyAlignment="1">
      <alignment horizontal="center"/>
    </xf>
    <xf numFmtId="167" fontId="12" fillId="0" borderId="0" xfId="11" applyNumberFormat="1" applyFont="1" applyFill="1"/>
    <xf numFmtId="3" fontId="12" fillId="0" borderId="0" xfId="11" applyNumberFormat="1" applyFont="1" applyFill="1" applyBorder="1"/>
    <xf numFmtId="3" fontId="22" fillId="0" borderId="0" xfId="11" applyNumberFormat="1" applyFont="1" applyFill="1" applyBorder="1" applyAlignment="1"/>
    <xf numFmtId="3" fontId="8" fillId="0" borderId="0" xfId="11" applyNumberFormat="1" applyFont="1" applyFill="1" applyBorder="1" applyAlignment="1"/>
    <xf numFmtId="0" fontId="8" fillId="0" borderId="0" xfId="11" applyFont="1" applyFill="1" applyBorder="1"/>
    <xf numFmtId="0" fontId="8" fillId="0" borderId="0" xfId="11" applyFont="1" applyFill="1"/>
    <xf numFmtId="3" fontId="24" fillId="0" borderId="15" xfId="11" applyNumberFormat="1" applyFont="1" applyFill="1" applyBorder="1" applyAlignment="1"/>
    <xf numFmtId="167" fontId="24" fillId="0" borderId="15" xfId="11" applyNumberFormat="1" applyFont="1" applyFill="1" applyBorder="1"/>
    <xf numFmtId="3" fontId="24" fillId="0" borderId="0" xfId="11" applyNumberFormat="1" applyFont="1" applyFill="1" applyBorder="1" applyAlignment="1"/>
    <xf numFmtId="3" fontId="24" fillId="0" borderId="0" xfId="11" applyNumberFormat="1" applyFont="1" applyFill="1" applyBorder="1"/>
    <xf numFmtId="3" fontId="24" fillId="0" borderId="0" xfId="11" applyNumberFormat="1" applyFont="1" applyFill="1" applyBorder="1" applyAlignment="1">
      <alignment horizontal="center"/>
    </xf>
    <xf numFmtId="167" fontId="12" fillId="0" borderId="0" xfId="11" applyNumberFormat="1" applyFont="1" applyFill="1" applyBorder="1"/>
    <xf numFmtId="3" fontId="12" fillId="0" borderId="1" xfId="11" applyNumberFormat="1" applyFont="1" applyFill="1" applyBorder="1" applyAlignment="1"/>
    <xf numFmtId="167" fontId="24" fillId="0" borderId="0" xfId="11" applyNumberFormat="1" applyFont="1" applyFill="1"/>
    <xf numFmtId="3" fontId="24" fillId="0" borderId="15" xfId="11" applyNumberFormat="1" applyFont="1" applyFill="1" applyBorder="1"/>
    <xf numFmtId="167" fontId="24" fillId="0" borderId="0" xfId="11" applyNumberFormat="1" applyFont="1" applyFill="1" applyBorder="1"/>
    <xf numFmtId="0" fontId="12" fillId="0" borderId="0" xfId="11" applyNumberFormat="1" applyFont="1" applyFill="1" applyBorder="1" applyAlignment="1"/>
    <xf numFmtId="167" fontId="12" fillId="0" borderId="0" xfId="11" applyNumberFormat="1" applyFont="1" applyFill="1" applyBorder="1" applyAlignment="1"/>
    <xf numFmtId="0" fontId="106" fillId="0" borderId="0" xfId="0" applyFont="1"/>
    <xf numFmtId="0" fontId="84" fillId="0" borderId="0" xfId="16" applyFont="1"/>
    <xf numFmtId="37" fontId="22" fillId="5" borderId="0" xfId="17" applyNumberFormat="1" applyFont="1" applyFill="1" applyAlignment="1" applyProtection="1">
      <alignment horizontal="left"/>
    </xf>
    <xf numFmtId="4" fontId="28" fillId="5" borderId="0" xfId="17" applyNumberFormat="1" applyFont="1" applyFill="1" applyProtection="1"/>
    <xf numFmtId="0" fontId="12" fillId="5" borderId="0" xfId="33" applyFont="1" applyFill="1"/>
    <xf numFmtId="37" fontId="6" fillId="5" borderId="0" xfId="17" applyNumberFormat="1" applyFont="1" applyFill="1" applyAlignment="1" applyProtection="1">
      <alignment horizontal="left"/>
    </xf>
    <xf numFmtId="37" fontId="91" fillId="5" borderId="0" xfId="17" applyNumberFormat="1" applyFont="1" applyFill="1" applyAlignment="1" applyProtection="1">
      <alignment horizontal="left"/>
    </xf>
    <xf numFmtId="0" fontId="12" fillId="5" borderId="16" xfId="33" applyFont="1" applyFill="1" applyBorder="1" applyAlignment="1">
      <alignment horizontal="center"/>
    </xf>
    <xf numFmtId="4" fontId="12" fillId="5" borderId="16" xfId="33" applyNumberFormat="1" applyFont="1" applyFill="1" applyBorder="1" applyAlignment="1">
      <alignment horizontal="center"/>
    </xf>
    <xf numFmtId="0" fontId="24" fillId="5" borderId="1" xfId="33" applyFont="1" applyFill="1" applyBorder="1" applyAlignment="1">
      <alignment horizontal="left"/>
    </xf>
    <xf numFmtId="4" fontId="24" fillId="5" borderId="1" xfId="33" applyNumberFormat="1" applyFont="1" applyFill="1" applyBorder="1" applyAlignment="1">
      <alignment horizontal="right"/>
    </xf>
    <xf numFmtId="167" fontId="12" fillId="5" borderId="0" xfId="33" applyNumberFormat="1" applyFont="1" applyFill="1" applyBorder="1" applyAlignment="1"/>
    <xf numFmtId="10" fontId="12" fillId="5" borderId="0" xfId="38" applyNumberFormat="1" applyFont="1" applyFill="1"/>
    <xf numFmtId="0" fontId="80" fillId="5" borderId="0" xfId="33" applyFont="1" applyFill="1" applyBorder="1"/>
    <xf numFmtId="5" fontId="24" fillId="5" borderId="8" xfId="17" applyNumberFormat="1" applyFont="1" applyFill="1" applyBorder="1" applyProtection="1"/>
    <xf numFmtId="167" fontId="24" fillId="5" borderId="8" xfId="17" applyNumberFormat="1" applyFont="1" applyFill="1" applyBorder="1" applyProtection="1"/>
    <xf numFmtId="5" fontId="24" fillId="5" borderId="0" xfId="17" applyNumberFormat="1" applyFont="1" applyFill="1" applyBorder="1" applyProtection="1"/>
    <xf numFmtId="167" fontId="12" fillId="5" borderId="0" xfId="17" applyNumberFormat="1" applyFont="1" applyFill="1" applyBorder="1" applyProtection="1"/>
    <xf numFmtId="3" fontId="12" fillId="5" borderId="0" xfId="33" applyNumberFormat="1" applyFont="1" applyFill="1" applyBorder="1"/>
    <xf numFmtId="0" fontId="12" fillId="5" borderId="13" xfId="33" applyFont="1" applyFill="1" applyBorder="1"/>
    <xf numFmtId="3" fontId="12" fillId="5" borderId="0" xfId="33" applyNumberFormat="1" applyFont="1" applyFill="1"/>
    <xf numFmtId="10" fontId="47" fillId="5" borderId="0" xfId="38" applyNumberFormat="1" applyFont="1" applyFill="1"/>
    <xf numFmtId="3" fontId="59" fillId="5" borderId="0" xfId="0" applyNumberFormat="1" applyFont="1" applyFill="1" applyBorder="1" applyAlignment="1">
      <alignment horizontal="right" vertical="center"/>
    </xf>
    <xf numFmtId="0" fontId="2" fillId="5" borderId="0" xfId="33" applyFont="1" applyFill="1" applyBorder="1" applyAlignment="1">
      <alignment horizontal="left"/>
    </xf>
    <xf numFmtId="44" fontId="12" fillId="5" borderId="0" xfId="4" applyFont="1" applyFill="1"/>
    <xf numFmtId="0" fontId="23" fillId="5" borderId="0" xfId="10" applyFont="1" applyFill="1"/>
    <xf numFmtId="0" fontId="23" fillId="5" borderId="48" xfId="10" applyFont="1" applyFill="1" applyBorder="1"/>
    <xf numFmtId="0" fontId="52" fillId="0" borderId="0" xfId="28" applyFont="1" applyFill="1"/>
    <xf numFmtId="0" fontId="20" fillId="0" borderId="0" xfId="28" applyFont="1" applyFill="1"/>
    <xf numFmtId="0" fontId="53" fillId="0" borderId="20" xfId="28" applyFont="1" applyFill="1" applyBorder="1"/>
    <xf numFmtId="0" fontId="53" fillId="0" borderId="20" xfId="28" applyFont="1" applyFill="1" applyBorder="1" applyAlignment="1">
      <alignment horizontal="center"/>
    </xf>
    <xf numFmtId="0" fontId="53" fillId="0" borderId="0" xfId="28" applyFont="1" applyFill="1" applyBorder="1"/>
    <xf numFmtId="0" fontId="53" fillId="0" borderId="0" xfId="28" applyFont="1" applyFill="1" applyBorder="1" applyAlignment="1">
      <alignment horizontal="center"/>
    </xf>
    <xf numFmtId="0" fontId="19" fillId="0" borderId="0" xfId="28" applyFill="1"/>
    <xf numFmtId="167" fontId="20" fillId="0" borderId="0" xfId="28" applyNumberFormat="1" applyFont="1" applyFill="1"/>
    <xf numFmtId="167" fontId="20" fillId="0" borderId="0" xfId="36" applyNumberFormat="1" applyFont="1" applyFill="1"/>
    <xf numFmtId="0" fontId="19" fillId="0" borderId="0" xfId="28" applyFill="1" applyAlignment="1">
      <alignment horizontal="left" indent="1"/>
    </xf>
    <xf numFmtId="0" fontId="53" fillId="0" borderId="15" xfId="28" applyFont="1" applyFill="1" applyBorder="1"/>
    <xf numFmtId="167" fontId="53" fillId="0" borderId="15" xfId="28" applyNumberFormat="1" applyFont="1" applyFill="1" applyBorder="1"/>
    <xf numFmtId="0" fontId="22" fillId="5" borderId="0" xfId="32" applyNumberFormat="1" applyFont="1" applyFill="1" applyAlignment="1"/>
    <xf numFmtId="0" fontId="14" fillId="5" borderId="0" xfId="32" applyNumberFormat="1" applyFont="1" applyFill="1" applyAlignment="1"/>
    <xf numFmtId="167" fontId="14" fillId="5" borderId="0" xfId="38" applyNumberFormat="1" applyFont="1" applyFill="1" applyAlignment="1"/>
    <xf numFmtId="170" fontId="6" fillId="5" borderId="0" xfId="32" applyNumberFormat="1" applyFont="1" applyFill="1" applyAlignment="1"/>
    <xf numFmtId="0" fontId="23" fillId="5" borderId="0" xfId="31" applyNumberFormat="1" applyFont="1" applyFill="1" applyAlignment="1">
      <alignment horizontal="left" wrapText="1"/>
    </xf>
    <xf numFmtId="0" fontId="12" fillId="5" borderId="10" xfId="32" applyNumberFormat="1" applyFont="1" applyFill="1" applyBorder="1" applyAlignment="1"/>
    <xf numFmtId="3" fontId="24" fillId="5" borderId="10" xfId="32" applyNumberFormat="1" applyFont="1" applyFill="1" applyBorder="1" applyAlignment="1">
      <alignment horizontal="right"/>
    </xf>
    <xf numFmtId="167" fontId="24" fillId="5" borderId="10" xfId="32" applyNumberFormat="1" applyFont="1" applyFill="1" applyBorder="1" applyAlignment="1">
      <alignment horizontal="right"/>
    </xf>
    <xf numFmtId="3" fontId="24" fillId="5" borderId="1" xfId="32" applyNumberFormat="1" applyFont="1" applyFill="1" applyBorder="1" applyAlignment="1">
      <alignment horizontal="left"/>
    </xf>
    <xf numFmtId="0" fontId="24" fillId="5" borderId="1" xfId="32" applyFont="1" applyFill="1" applyBorder="1" applyAlignment="1">
      <alignment horizontal="right"/>
    </xf>
    <xf numFmtId="0" fontId="24" fillId="5" borderId="1" xfId="32" applyNumberFormat="1" applyFont="1" applyFill="1" applyBorder="1" applyAlignment="1">
      <alignment horizontal="right"/>
    </xf>
    <xf numFmtId="3" fontId="24" fillId="5" borderId="0" xfId="32" applyNumberFormat="1" applyFont="1" applyFill="1" applyBorder="1" applyAlignment="1">
      <alignment horizontal="left"/>
    </xf>
    <xf numFmtId="0" fontId="24" fillId="5" borderId="0" xfId="32" applyFont="1" applyFill="1" applyBorder="1" applyAlignment="1">
      <alignment horizontal="right"/>
    </xf>
    <xf numFmtId="167" fontId="12" fillId="5" borderId="0" xfId="38" applyNumberFormat="1" applyFont="1" applyFill="1" applyBorder="1"/>
    <xf numFmtId="0" fontId="12" fillId="5" borderId="0" xfId="32" applyFont="1" applyFill="1" applyBorder="1"/>
    <xf numFmtId="167" fontId="12" fillId="5" borderId="0" xfId="32" applyNumberFormat="1" applyFont="1" applyFill="1" applyBorder="1"/>
    <xf numFmtId="167" fontId="12" fillId="5" borderId="0" xfId="32" applyNumberFormat="1" applyFont="1" applyFill="1"/>
    <xf numFmtId="3" fontId="80" fillId="5" borderId="0" xfId="32" applyNumberFormat="1" applyFont="1" applyFill="1" applyBorder="1"/>
    <xf numFmtId="44" fontId="12" fillId="5" borderId="0" xfId="32" applyNumberFormat="1" applyFont="1" applyFill="1"/>
    <xf numFmtId="170" fontId="24" fillId="5" borderId="0" xfId="32" applyNumberFormat="1" applyFont="1" applyFill="1" applyAlignment="1">
      <alignment horizontal="left"/>
    </xf>
    <xf numFmtId="3" fontId="24" fillId="5" borderId="0" xfId="32" applyNumberFormat="1" applyFont="1" applyFill="1" applyBorder="1" applyAlignment="1">
      <alignment horizontal="right"/>
    </xf>
    <xf numFmtId="0" fontId="12" fillId="5" borderId="0" xfId="32" applyNumberFormat="1" applyFont="1" applyFill="1" applyAlignment="1"/>
    <xf numFmtId="3" fontId="12" fillId="5" borderId="0" xfId="38" applyNumberFormat="1" applyFont="1" applyFill="1" applyAlignment="1"/>
    <xf numFmtId="177" fontId="48" fillId="5" borderId="0" xfId="31" applyFill="1"/>
    <xf numFmtId="3" fontId="12" fillId="5" borderId="1" xfId="32" applyNumberFormat="1" applyFont="1" applyFill="1" applyBorder="1"/>
    <xf numFmtId="3" fontId="24" fillId="5" borderId="15" xfId="32" applyNumberFormat="1" applyFont="1" applyFill="1" applyBorder="1" applyAlignment="1"/>
    <xf numFmtId="167" fontId="24" fillId="5" borderId="15" xfId="38" applyNumberFormat="1" applyFont="1" applyFill="1" applyBorder="1"/>
    <xf numFmtId="3" fontId="24" fillId="5" borderId="12" xfId="32" applyNumberFormat="1" applyFont="1" applyFill="1" applyBorder="1" applyAlignment="1"/>
    <xf numFmtId="167" fontId="12" fillId="5" borderId="0" xfId="32" applyNumberFormat="1" applyFont="1" applyFill="1" applyBorder="1" applyAlignment="1"/>
    <xf numFmtId="167" fontId="24" fillId="5" borderId="0" xfId="32" applyNumberFormat="1" applyFont="1" applyFill="1"/>
    <xf numFmtId="0" fontId="12" fillId="5" borderId="15" xfId="32" applyFont="1" applyFill="1" applyBorder="1"/>
    <xf numFmtId="167" fontId="24" fillId="5" borderId="0" xfId="38" applyNumberFormat="1" applyFont="1" applyFill="1"/>
    <xf numFmtId="3" fontId="24" fillId="5" borderId="0" xfId="32" applyNumberFormat="1" applyFont="1" applyFill="1" applyBorder="1" applyAlignment="1"/>
    <xf numFmtId="164" fontId="24" fillId="5" borderId="0" xfId="32" applyNumberFormat="1" applyFont="1" applyFill="1" applyBorder="1" applyAlignment="1">
      <alignment horizontal="right"/>
    </xf>
    <xf numFmtId="3" fontId="2" fillId="0" borderId="0" xfId="25" applyNumberFormat="1" applyFont="1" applyFill="1" applyAlignment="1">
      <alignment horizontal="right"/>
    </xf>
    <xf numFmtId="3" fontId="2" fillId="0" borderId="0" xfId="25" applyNumberFormat="1" applyFont="1" applyFill="1"/>
    <xf numFmtId="0" fontId="17" fillId="0" borderId="50" xfId="0" applyFont="1" applyBorder="1" applyAlignment="1">
      <alignment horizontal="center" wrapText="1"/>
    </xf>
    <xf numFmtId="0" fontId="2" fillId="0" borderId="50" xfId="0" applyFont="1" applyBorder="1" applyAlignment="1">
      <alignment vertical="center" wrapText="1"/>
    </xf>
    <xf numFmtId="0" fontId="2" fillId="0" borderId="50" xfId="0" applyFont="1" applyBorder="1" applyAlignment="1">
      <alignment horizontal="left" vertical="center" wrapText="1"/>
    </xf>
    <xf numFmtId="37" fontId="2" fillId="0" borderId="50" xfId="41" applyNumberFormat="1" applyFont="1" applyBorder="1" applyAlignment="1">
      <alignment horizontal="right" vertical="center" wrapText="1"/>
    </xf>
    <xf numFmtId="0" fontId="2" fillId="0" borderId="0" xfId="40" applyFont="1" applyBorder="1" applyAlignment="1">
      <alignment vertical="center" wrapText="1"/>
    </xf>
    <xf numFmtId="37" fontId="2" fillId="0" borderId="0" xfId="41" applyNumberFormat="1" applyFont="1" applyBorder="1" applyAlignment="1">
      <alignment horizontal="right" vertical="center" wrapText="1"/>
    </xf>
    <xf numFmtId="0" fontId="2" fillId="0" borderId="50" xfId="40" applyFont="1" applyFill="1" applyBorder="1" applyAlignment="1">
      <alignment vertical="center" wrapText="1"/>
    </xf>
    <xf numFmtId="37" fontId="2" fillId="0" borderId="0" xfId="41" applyNumberFormat="1" applyFont="1" applyFill="1" applyBorder="1" applyAlignment="1">
      <alignment horizontal="right" vertical="center" wrapText="1"/>
    </xf>
    <xf numFmtId="3" fontId="2" fillId="0" borderId="0" xfId="40" applyNumberFormat="1" applyFont="1" applyFill="1" applyBorder="1" applyAlignment="1">
      <alignment horizontal="right" vertical="center" wrapText="1"/>
    </xf>
    <xf numFmtId="0" fontId="2" fillId="0" borderId="0" xfId="40" applyFont="1" applyFill="1" applyBorder="1" applyAlignment="1">
      <alignment horizontal="right" vertical="center" wrapText="1"/>
    </xf>
    <xf numFmtId="179" fontId="2" fillId="0" borderId="0" xfId="41" applyNumberFormat="1" applyFont="1" applyFill="1" applyBorder="1" applyAlignment="1">
      <alignment horizontal="right" vertical="center" wrapText="1"/>
    </xf>
    <xf numFmtId="0" fontId="23" fillId="0" borderId="0" xfId="11" applyNumberFormat="1" applyFont="1" applyFill="1" applyBorder="1" applyAlignment="1"/>
    <xf numFmtId="0" fontId="34" fillId="0" borderId="54" xfId="14" applyFont="1" applyBorder="1" applyAlignment="1" applyProtection="1">
      <alignment horizontal="center"/>
    </xf>
    <xf numFmtId="37" fontId="34" fillId="0" borderId="54" xfId="14" applyNumberFormat="1" applyFont="1" applyBorder="1" applyProtection="1"/>
    <xf numFmtId="37" fontId="34" fillId="0" borderId="54" xfId="14" applyNumberFormat="1" applyFont="1" applyBorder="1" applyAlignment="1" applyProtection="1">
      <alignment horizontal="center"/>
    </xf>
    <xf numFmtId="167" fontId="2" fillId="0" borderId="0" xfId="0" applyNumberFormat="1" applyFont="1" applyAlignment="1">
      <alignment horizontal="right"/>
    </xf>
    <xf numFmtId="0" fontId="2" fillId="0" borderId="0" xfId="16" applyNumberFormat="1" applyFont="1" applyAlignment="1" applyProtection="1">
      <alignment horizontal="center"/>
    </xf>
    <xf numFmtId="167" fontId="2" fillId="0" borderId="0" xfId="16" applyNumberFormat="1" applyFont="1" applyAlignment="1" applyProtection="1">
      <alignment horizontal="center"/>
    </xf>
    <xf numFmtId="167" fontId="2" fillId="0" borderId="0" xfId="16" applyNumberFormat="1" applyFont="1" applyAlignment="1" applyProtection="1">
      <alignment horizontal="right"/>
    </xf>
    <xf numFmtId="169" fontId="107" fillId="0" borderId="0" xfId="36" applyNumberFormat="1" applyFont="1"/>
    <xf numFmtId="10" fontId="83" fillId="0" borderId="0" xfId="0" applyNumberFormat="1" applyFont="1" applyAlignment="1"/>
    <xf numFmtId="10" fontId="83" fillId="0" borderId="0" xfId="0" applyNumberFormat="1" applyFont="1" applyAlignment="1">
      <alignment horizontal="center"/>
    </xf>
    <xf numFmtId="179" fontId="84" fillId="0" borderId="0" xfId="41" applyNumberFormat="1" applyFont="1" applyFill="1" applyAlignment="1"/>
    <xf numFmtId="2" fontId="23" fillId="0" borderId="0" xfId="16" applyNumberFormat="1" applyFont="1"/>
    <xf numFmtId="3" fontId="83" fillId="0" borderId="0" xfId="26" applyNumberFormat="1" applyFont="1"/>
    <xf numFmtId="0" fontId="58" fillId="0" borderId="0" xfId="8" applyFont="1" applyFill="1"/>
    <xf numFmtId="3" fontId="83" fillId="0" borderId="0" xfId="8" applyNumberFormat="1" applyFont="1" applyAlignment="1"/>
    <xf numFmtId="3" fontId="80" fillId="0" borderId="0" xfId="0" applyNumberFormat="1" applyFont="1" applyFill="1" applyBorder="1" applyAlignment="1"/>
    <xf numFmtId="10" fontId="83" fillId="0" borderId="0" xfId="38" applyNumberFormat="1" applyFont="1" applyFill="1"/>
    <xf numFmtId="10" fontId="98" fillId="0" borderId="0" xfId="38" applyNumberFormat="1" applyFont="1" applyFill="1"/>
    <xf numFmtId="168" fontId="87" fillId="0" borderId="0" xfId="0" applyNumberFormat="1" applyFont="1" applyAlignment="1"/>
    <xf numFmtId="3" fontId="2" fillId="0" borderId="0" xfId="16" applyNumberFormat="1" applyFont="1" applyAlignment="1" applyProtection="1">
      <alignment horizontal="center"/>
    </xf>
    <xf numFmtId="3" fontId="2" fillId="0" borderId="0" xfId="16" applyNumberFormat="1" applyFont="1" applyAlignment="1" applyProtection="1">
      <alignment horizontal="right"/>
    </xf>
    <xf numFmtId="0" fontId="91" fillId="0" borderId="0" xfId="0" applyNumberFormat="1" applyFont="1" applyAlignment="1"/>
    <xf numFmtId="0" fontId="109" fillId="0" borderId="0" xfId="22" applyFont="1" applyFill="1"/>
    <xf numFmtId="0" fontId="110" fillId="0" borderId="0" xfId="0" applyFont="1"/>
    <xf numFmtId="0" fontId="22" fillId="0" borderId="0" xfId="0" applyFont="1" applyAlignment="1">
      <alignment vertical="center"/>
    </xf>
    <xf numFmtId="0" fontId="2" fillId="0" borderId="0" xfId="40" applyFont="1" applyFill="1" applyBorder="1" applyAlignment="1">
      <alignment horizontal="right" vertical="center"/>
    </xf>
    <xf numFmtId="3" fontId="2" fillId="0" borderId="50" xfId="40" applyNumberFormat="1" applyFont="1" applyFill="1" applyBorder="1" applyAlignment="1">
      <alignment horizontal="right" vertical="center"/>
    </xf>
    <xf numFmtId="3" fontId="0" fillId="0" borderId="0" xfId="0" applyNumberFormat="1" applyFill="1"/>
    <xf numFmtId="0" fontId="22" fillId="0" borderId="0" xfId="15" applyFont="1" applyFill="1" applyProtection="1"/>
    <xf numFmtId="0" fontId="22" fillId="0" borderId="0" xfId="14" applyFont="1" applyFill="1" applyProtection="1"/>
    <xf numFmtId="0" fontId="22" fillId="0" borderId="0" xfId="29" applyFont="1" applyFill="1"/>
    <xf numFmtId="3" fontId="83" fillId="0" borderId="0" xfId="12" applyNumberFormat="1" applyFont="1" applyFill="1" applyAlignment="1"/>
    <xf numFmtId="0" fontId="4" fillId="0" borderId="0" xfId="0" applyNumberFormat="1" applyFont="1" applyFill="1" applyAlignment="1"/>
    <xf numFmtId="3" fontId="22" fillId="0" borderId="0" xfId="0" applyNumberFormat="1" applyFont="1" applyFill="1" applyAlignment="1"/>
    <xf numFmtId="0" fontId="22" fillId="0" borderId="0" xfId="0" applyNumberFormat="1" applyFont="1" applyFill="1" applyAlignment="1"/>
    <xf numFmtId="0" fontId="22" fillId="0" borderId="0" xfId="25" applyFont="1" applyFill="1" applyAlignment="1"/>
    <xf numFmtId="0" fontId="24" fillId="0" borderId="17" xfId="25" applyFont="1" applyFill="1" applyBorder="1" applyAlignment="1">
      <alignment horizontal="centerContinuous"/>
    </xf>
    <xf numFmtId="0" fontId="22" fillId="0" borderId="0" xfId="21" applyFont="1" applyFill="1" applyAlignment="1">
      <alignment horizontal="left"/>
    </xf>
    <xf numFmtId="0" fontId="22" fillId="0" borderId="0" xfId="16" applyFont="1" applyFill="1"/>
    <xf numFmtId="0" fontId="57" fillId="0" borderId="0" xfId="14" applyFont="1" applyProtection="1"/>
    <xf numFmtId="0" fontId="84" fillId="0" borderId="0" xfId="16" applyFont="1" applyAlignment="1">
      <alignment horizontal="left" wrapText="1"/>
    </xf>
    <xf numFmtId="0" fontId="104" fillId="0" borderId="0" xfId="0" applyNumberFormat="1" applyFont="1" applyAlignment="1"/>
    <xf numFmtId="0" fontId="91" fillId="0" borderId="0" xfId="0" applyNumberFormat="1" applyFont="1" applyFill="1" applyBorder="1" applyAlignment="1"/>
    <xf numFmtId="37" fontId="111" fillId="0" borderId="54" xfId="14" applyNumberFormat="1" applyFont="1" applyBorder="1" applyProtection="1"/>
    <xf numFmtId="37" fontId="113" fillId="0" borderId="0" xfId="14" applyNumberFormat="1" applyFont="1" applyBorder="1" applyProtection="1"/>
    <xf numFmtId="0" fontId="104" fillId="0" borderId="54" xfId="13" applyFont="1" applyBorder="1"/>
    <xf numFmtId="9" fontId="104" fillId="0" borderId="0" xfId="36" applyFont="1" applyFill="1"/>
    <xf numFmtId="9" fontId="112" fillId="0" borderId="0" xfId="14" applyNumberFormat="1" applyFont="1" applyFill="1" applyBorder="1" applyProtection="1"/>
    <xf numFmtId="169" fontId="114" fillId="0" borderId="0" xfId="36" applyNumberFormat="1" applyFont="1"/>
    <xf numFmtId="0" fontId="17" fillId="0" borderId="0" xfId="0" applyFont="1"/>
    <xf numFmtId="0" fontId="44" fillId="0" borderId="0" xfId="29" applyFill="1"/>
    <xf numFmtId="0" fontId="6" fillId="0" borderId="0" xfId="29" applyFont="1" applyFill="1"/>
    <xf numFmtId="0" fontId="60" fillId="0" borderId="0" xfId="29" applyFont="1" applyFill="1"/>
    <xf numFmtId="37" fontId="12" fillId="0" borderId="0" xfId="18" applyNumberFormat="1" applyFont="1" applyFill="1" applyAlignment="1">
      <alignment horizontal="right"/>
    </xf>
    <xf numFmtId="5" fontId="12" fillId="0" borderId="0" xfId="18" applyNumberFormat="1" applyFont="1" applyFill="1"/>
    <xf numFmtId="37" fontId="12" fillId="0" borderId="0" xfId="18" applyNumberFormat="1" applyFont="1" applyFill="1"/>
    <xf numFmtId="0" fontId="24" fillId="0" borderId="15" xfId="29" applyFont="1" applyFill="1" applyBorder="1"/>
    <xf numFmtId="0" fontId="22" fillId="0" borderId="0" xfId="30" applyFont="1" applyFill="1" applyAlignment="1">
      <alignment horizontal="left"/>
    </xf>
    <xf numFmtId="0" fontId="24" fillId="0" borderId="0" xfId="30" applyFont="1" applyFill="1" applyAlignment="1">
      <alignment horizontal="centerContinuous"/>
    </xf>
    <xf numFmtId="0" fontId="44" fillId="0" borderId="0" xfId="30" applyFill="1"/>
    <xf numFmtId="0" fontId="6" fillId="0" borderId="0" xfId="30" applyFont="1" applyFill="1" applyAlignment="1">
      <alignment horizontal="left"/>
    </xf>
    <xf numFmtId="0" fontId="44" fillId="0" borderId="0" xfId="30" applyFill="1" applyAlignment="1">
      <alignment horizontal="centerContinuous"/>
    </xf>
    <xf numFmtId="0" fontId="44" fillId="0" borderId="0" xfId="30" applyFill="1" applyAlignment="1">
      <alignment horizontal="left"/>
    </xf>
    <xf numFmtId="0" fontId="44" fillId="0" borderId="16" xfId="30" applyFill="1" applyBorder="1"/>
    <xf numFmtId="0" fontId="44" fillId="0" borderId="0" xfId="30" applyFill="1" applyBorder="1"/>
    <xf numFmtId="0" fontId="44" fillId="0" borderId="0" xfId="30" applyFill="1" applyBorder="1" applyAlignment="1">
      <alignment horizontal="center"/>
    </xf>
    <xf numFmtId="0" fontId="24" fillId="0" borderId="1" xfId="30" applyFont="1" applyFill="1" applyBorder="1" applyAlignment="1">
      <alignment horizontal="center"/>
    </xf>
    <xf numFmtId="0" fontId="24" fillId="0" borderId="1" xfId="30" applyFont="1" applyFill="1" applyBorder="1" applyAlignment="1">
      <alignment horizontal="right"/>
    </xf>
    <xf numFmtId="0" fontId="24" fillId="0" borderId="0" xfId="30" applyFont="1" applyFill="1" applyBorder="1" applyAlignment="1">
      <alignment horizontal="center"/>
    </xf>
    <xf numFmtId="0" fontId="44" fillId="0" borderId="0" xfId="29" applyFill="1" applyBorder="1"/>
    <xf numFmtId="0" fontId="44" fillId="0" borderId="0" xfId="30" applyFill="1" applyAlignment="1">
      <alignment horizontal="center"/>
    </xf>
    <xf numFmtId="167" fontId="44" fillId="0" borderId="0" xfId="1" applyNumberFormat="1" applyFill="1" applyAlignment="1">
      <alignment horizontal="right"/>
    </xf>
    <xf numFmtId="3" fontId="44" fillId="0" borderId="0" xfId="30" applyNumberFormat="1" applyFill="1"/>
    <xf numFmtId="3" fontId="44" fillId="0" borderId="0" xfId="1" applyNumberFormat="1" applyFill="1" applyAlignment="1">
      <alignment horizontal="right"/>
    </xf>
    <xf numFmtId="3" fontId="44" fillId="0" borderId="0" xfId="1" applyNumberFormat="1" applyFill="1"/>
    <xf numFmtId="170" fontId="6" fillId="5" borderId="0" xfId="32" applyNumberFormat="1" applyFont="1" applyFill="1" applyAlignment="1">
      <alignment horizontal="left"/>
    </xf>
    <xf numFmtId="10" fontId="3" fillId="0" borderId="0" xfId="0" applyNumberFormat="1" applyFont="1" applyFill="1" applyAlignment="1">
      <alignment horizontal="right"/>
    </xf>
    <xf numFmtId="10" fontId="3" fillId="0" borderId="1" xfId="0" applyNumberFormat="1" applyFont="1" applyFill="1" applyBorder="1" applyAlignment="1">
      <alignment horizontal="right"/>
    </xf>
    <xf numFmtId="0" fontId="0" fillId="0" borderId="2" xfId="0" applyFill="1" applyBorder="1"/>
    <xf numFmtId="10" fontId="6"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0" fontId="3" fillId="0" borderId="3" xfId="0" applyNumberFormat="1" applyFont="1" applyFill="1" applyBorder="1" applyAlignment="1">
      <alignment horizontal="right"/>
    </xf>
    <xf numFmtId="10" fontId="3" fillId="0" borderId="4" xfId="0" applyNumberFormat="1" applyFont="1" applyFill="1" applyBorder="1" applyAlignment="1">
      <alignment horizontal="right"/>
    </xf>
    <xf numFmtId="10" fontId="83" fillId="0" borderId="0" xfId="0" applyNumberFormat="1" applyFont="1" applyFill="1" applyAlignment="1">
      <alignment horizontal="right"/>
    </xf>
    <xf numFmtId="3" fontId="80" fillId="5" borderId="49" xfId="38" applyNumberFormat="1" applyFont="1" applyFill="1" applyBorder="1"/>
    <xf numFmtId="0" fontId="23" fillId="5" borderId="0" xfId="11" applyFont="1" applyFill="1"/>
    <xf numFmtId="0" fontId="2" fillId="0" borderId="0" xfId="29" applyFont="1" applyFill="1" applyBorder="1" applyAlignment="1">
      <alignment horizontal="left"/>
    </xf>
    <xf numFmtId="0" fontId="2" fillId="0" borderId="0" xfId="29" applyFont="1" applyFill="1" applyBorder="1" applyAlignment="1"/>
    <xf numFmtId="0" fontId="2" fillId="0" borderId="0" xfId="29" applyFont="1" applyFill="1"/>
    <xf numFmtId="0" fontId="16" fillId="0" borderId="50" xfId="0" applyNumberFormat="1" applyFont="1" applyFill="1" applyBorder="1" applyAlignment="1">
      <alignment horizontal="center"/>
    </xf>
    <xf numFmtId="3" fontId="2" fillId="0" borderId="0" xfId="16" quotePrefix="1" applyNumberFormat="1" applyFont="1" applyAlignment="1" applyProtection="1">
      <alignment horizontal="center"/>
    </xf>
    <xf numFmtId="0" fontId="2" fillId="0" borderId="0" xfId="26" applyFont="1"/>
    <xf numFmtId="0" fontId="2" fillId="0" borderId="0" xfId="25" applyFont="1" applyAlignment="1"/>
    <xf numFmtId="3" fontId="2" fillId="0" borderId="0" xfId="35" applyNumberFormat="1" applyFont="1" applyFill="1" applyAlignment="1"/>
    <xf numFmtId="0" fontId="2" fillId="0" borderId="0" xfId="0" applyNumberFormat="1" applyFont="1" applyFill="1" applyAlignment="1"/>
    <xf numFmtId="3" fontId="3" fillId="0" borderId="0" xfId="8" quotePrefix="1" applyNumberFormat="1" applyFont="1" applyFill="1" applyAlignment="1"/>
    <xf numFmtId="0" fontId="12" fillId="5" borderId="0" xfId="32" applyFont="1" applyFill="1" applyAlignment="1"/>
    <xf numFmtId="167" fontId="12" fillId="5" borderId="0" xfId="38" applyNumberFormat="1" applyFont="1" applyFill="1" applyAlignment="1"/>
    <xf numFmtId="0" fontId="3" fillId="0" borderId="0" xfId="0" applyFont="1"/>
    <xf numFmtId="5" fontId="104" fillId="0" borderId="0" xfId="14" applyNumberFormat="1" applyFont="1" applyBorder="1" applyProtection="1"/>
    <xf numFmtId="5" fontId="80" fillId="0" borderId="0" xfId="14" applyNumberFormat="1" applyFont="1" applyBorder="1" applyProtection="1"/>
    <xf numFmtId="0" fontId="80" fillId="0" borderId="0" xfId="29" applyFont="1" applyFill="1" applyBorder="1" applyAlignment="1"/>
    <xf numFmtId="37" fontId="80" fillId="0" borderId="0" xfId="14" applyNumberFormat="1" applyFont="1" applyFill="1" applyBorder="1" applyProtection="1"/>
    <xf numFmtId="37" fontId="80" fillId="0" borderId="0" xfId="14" applyNumberFormat="1" applyFont="1" applyBorder="1" applyProtection="1"/>
    <xf numFmtId="167" fontId="2" fillId="0" borderId="0" xfId="36" applyNumberFormat="1" applyFont="1"/>
    <xf numFmtId="44" fontId="2" fillId="0" borderId="0" xfId="3" applyFont="1"/>
    <xf numFmtId="0" fontId="2" fillId="0" borderId="0" xfId="25" applyFont="1"/>
    <xf numFmtId="0" fontId="3" fillId="0" borderId="0" xfId="26" applyFont="1"/>
    <xf numFmtId="10" fontId="118" fillId="0" borderId="0" xfId="0" applyNumberFormat="1" applyFont="1" applyAlignment="1"/>
    <xf numFmtId="3" fontId="20" fillId="0" borderId="0" xfId="22" applyNumberFormat="1" applyFont="1" applyFill="1"/>
    <xf numFmtId="0" fontId="119" fillId="0" borderId="0" xfId="0" applyFont="1" applyBorder="1" applyAlignment="1">
      <alignment horizontal="left" wrapText="1"/>
    </xf>
    <xf numFmtId="0" fontId="0" fillId="0" borderId="0" xfId="0" applyBorder="1" applyAlignment="1">
      <alignment vertical="center" wrapText="1"/>
    </xf>
    <xf numFmtId="3" fontId="44" fillId="0" borderId="0" xfId="25" applyNumberFormat="1" applyFill="1" applyBorder="1" applyAlignment="1"/>
    <xf numFmtId="0" fontId="18" fillId="0" borderId="0" xfId="21" applyNumberFormat="1" applyFont="1" applyFill="1" applyBorder="1" applyAlignment="1">
      <alignment horizontal="left"/>
    </xf>
    <xf numFmtId="0" fontId="95" fillId="0" borderId="15" xfId="21" applyFont="1" applyBorder="1"/>
    <xf numFmtId="0" fontId="18" fillId="4" borderId="0" xfId="21" applyNumberFormat="1" applyFont="1" applyFill="1" applyBorder="1" applyAlignment="1">
      <alignment horizontal="left"/>
    </xf>
    <xf numFmtId="0" fontId="124" fillId="0" borderId="0" xfId="8" applyNumberFormat="1" applyFont="1" applyFill="1" applyAlignment="1">
      <alignment horizontal="left"/>
    </xf>
    <xf numFmtId="0" fontId="124" fillId="0" borderId="0" xfId="8" applyNumberFormat="1" applyFont="1" applyAlignment="1"/>
    <xf numFmtId="0" fontId="125" fillId="0" borderId="0" xfId="8" applyNumberFormat="1" applyFont="1" applyAlignment="1">
      <alignment horizontal="center"/>
    </xf>
    <xf numFmtId="3" fontId="124" fillId="0" borderId="0" xfId="8" applyNumberFormat="1" applyFont="1" applyAlignment="1"/>
    <xf numFmtId="166" fontId="124" fillId="0" borderId="0" xfId="8" applyNumberFormat="1" applyFont="1" applyFill="1" applyAlignment="1">
      <alignment horizontal="left"/>
    </xf>
    <xf numFmtId="0" fontId="124" fillId="0" borderId="0" xfId="8" applyNumberFormat="1" applyFont="1" applyAlignment="1">
      <alignment horizontal="left"/>
    </xf>
    <xf numFmtId="0" fontId="126" fillId="0" borderId="0" xfId="8" applyNumberFormat="1" applyFont="1" applyAlignment="1"/>
    <xf numFmtId="0" fontId="125" fillId="0" borderId="0" xfId="8" applyNumberFormat="1" applyFont="1" applyAlignment="1"/>
    <xf numFmtId="1" fontId="124" fillId="0" borderId="0" xfId="8" applyNumberFormat="1" applyFont="1" applyAlignment="1"/>
    <xf numFmtId="4" fontId="124" fillId="0" borderId="0" xfId="8" applyNumberFormat="1" applyFont="1" applyAlignment="1"/>
    <xf numFmtId="0" fontId="18" fillId="0" borderId="55" xfId="21" applyNumberFormat="1" applyFont="1" applyFill="1" applyBorder="1" applyAlignment="1">
      <alignment horizontal="left"/>
    </xf>
    <xf numFmtId="0" fontId="18" fillId="0" borderId="56" xfId="21" applyNumberFormat="1" applyFont="1" applyFill="1" applyBorder="1" applyAlignment="1">
      <alignment horizontal="left"/>
    </xf>
    <xf numFmtId="0" fontId="123" fillId="0" borderId="0" xfId="0" applyNumberFormat="1" applyFont="1" applyFill="1" applyBorder="1" applyAlignment="1"/>
    <xf numFmtId="10" fontId="128" fillId="0" borderId="0" xfId="0" applyNumberFormat="1" applyFont="1" applyAlignment="1">
      <alignment horizontal="center"/>
    </xf>
    <xf numFmtId="10" fontId="118" fillId="0" borderId="0" xfId="0" applyNumberFormat="1" applyFont="1" applyAlignment="1">
      <alignment horizontal="center"/>
    </xf>
    <xf numFmtId="169" fontId="127" fillId="0" borderId="0" xfId="36" applyNumberFormat="1" applyFont="1"/>
    <xf numFmtId="10" fontId="117" fillId="0" borderId="0" xfId="36" applyNumberFormat="1" applyFont="1" applyFill="1" applyBorder="1" applyAlignment="1"/>
    <xf numFmtId="0" fontId="129" fillId="0" borderId="0" xfId="0" applyFont="1"/>
    <xf numFmtId="169" fontId="117" fillId="0" borderId="0" xfId="36" applyNumberFormat="1" applyFont="1" applyFill="1" applyBorder="1" applyAlignment="1"/>
    <xf numFmtId="0" fontId="130" fillId="0" borderId="0" xfId="0" applyNumberFormat="1" applyFont="1" applyFill="1" applyBorder="1" applyAlignment="1"/>
    <xf numFmtId="10" fontId="129" fillId="0" borderId="0" xfId="36" applyNumberFormat="1" applyFont="1"/>
    <xf numFmtId="0" fontId="129" fillId="0" borderId="0" xfId="16" applyNumberFormat="1" applyFont="1" applyAlignment="1" applyProtection="1">
      <alignment horizontal="center"/>
    </xf>
    <xf numFmtId="167" fontId="129" fillId="0" borderId="0" xfId="16" applyNumberFormat="1" applyFont="1" applyAlignment="1" applyProtection="1">
      <alignment horizontal="right"/>
    </xf>
    <xf numFmtId="3" fontId="129" fillId="0" borderId="0" xfId="0" applyNumberFormat="1" applyFont="1" applyBorder="1" applyAlignment="1"/>
    <xf numFmtId="0" fontId="129" fillId="0" borderId="0" xfId="29" applyFont="1" applyFill="1"/>
    <xf numFmtId="169" fontId="131" fillId="0" borderId="0" xfId="36" applyNumberFormat="1" applyFont="1" applyFill="1"/>
    <xf numFmtId="0" fontId="132" fillId="0" borderId="0" xfId="84" applyFont="1" applyFill="1" applyAlignment="1">
      <alignment horizontal="center"/>
    </xf>
    <xf numFmtId="0" fontId="129" fillId="0" borderId="0" xfId="0" applyNumberFormat="1" applyFont="1" applyAlignment="1"/>
    <xf numFmtId="0" fontId="133" fillId="0" borderId="0" xfId="0" applyNumberFormat="1" applyFont="1" applyAlignment="1"/>
    <xf numFmtId="164" fontId="118" fillId="0" borderId="0" xfId="0" applyNumberFormat="1" applyFont="1" applyAlignment="1">
      <alignment horizontal="right"/>
    </xf>
    <xf numFmtId="168" fontId="129" fillId="0" borderId="0" xfId="0" applyNumberFormat="1" applyFont="1" applyAlignment="1">
      <alignment horizontal="right"/>
    </xf>
    <xf numFmtId="3" fontId="118" fillId="0" borderId="0" xfId="0" applyNumberFormat="1" applyFont="1" applyAlignment="1">
      <alignment horizontal="right"/>
    </xf>
    <xf numFmtId="0" fontId="129" fillId="0" borderId="0" xfId="0" applyFont="1" applyBorder="1"/>
    <xf numFmtId="168" fontId="133" fillId="0" borderId="0" xfId="0" applyNumberFormat="1" applyFont="1" applyAlignment="1"/>
    <xf numFmtId="168" fontId="129" fillId="0" borderId="0" xfId="0" applyNumberFormat="1" applyFont="1" applyAlignment="1"/>
    <xf numFmtId="10" fontId="129" fillId="0" borderId="0" xfId="36" applyNumberFormat="1" applyFont="1" applyAlignment="1"/>
    <xf numFmtId="164" fontId="133" fillId="0" borderId="0" xfId="0" applyNumberFormat="1" applyFont="1" applyAlignment="1"/>
    <xf numFmtId="3" fontId="133" fillId="0" borderId="0" xfId="0" applyNumberFormat="1" applyFont="1" applyAlignment="1"/>
    <xf numFmtId="0" fontId="134" fillId="2" borderId="0" xfId="0" applyNumberFormat="1" applyFont="1" applyFill="1" applyAlignment="1">
      <alignment horizontal="center"/>
    </xf>
    <xf numFmtId="0" fontId="134" fillId="0" borderId="0" xfId="0" applyNumberFormat="1" applyFont="1" applyAlignment="1">
      <alignment horizontal="center"/>
    </xf>
    <xf numFmtId="0" fontId="129" fillId="3" borderId="0" xfId="0" applyNumberFormat="1" applyFont="1" applyFill="1" applyAlignment="1">
      <alignment horizontal="left"/>
    </xf>
    <xf numFmtId="164" fontId="129" fillId="0" borderId="0" xfId="0" applyNumberFormat="1" applyFont="1" applyAlignment="1">
      <alignment horizontal="right"/>
    </xf>
    <xf numFmtId="10" fontId="78" fillId="0" borderId="0" xfId="38" applyNumberFormat="1" applyFont="1" applyFill="1"/>
    <xf numFmtId="0" fontId="80" fillId="0" borderId="0" xfId="0" applyNumberFormat="1" applyFont="1" applyAlignment="1">
      <alignment horizontal="center"/>
    </xf>
    <xf numFmtId="0" fontId="135" fillId="0" borderId="0" xfId="0" applyNumberFormat="1" applyFont="1" applyAlignment="1"/>
    <xf numFmtId="172" fontId="135" fillId="0" borderId="0" xfId="0" applyNumberFormat="1" applyFont="1" applyAlignment="1"/>
    <xf numFmtId="169" fontId="57" fillId="0" borderId="0" xfId="36" applyNumberFormat="1" applyFont="1" applyAlignment="1"/>
    <xf numFmtId="169" fontId="57" fillId="0" borderId="0" xfId="0" applyNumberFormat="1" applyFont="1" applyAlignment="1"/>
    <xf numFmtId="0" fontId="10" fillId="0" borderId="0" xfId="21" applyNumberFormat="1" applyFont="1" applyFill="1" applyBorder="1" applyAlignment="1">
      <alignment horizontal="left"/>
    </xf>
    <xf numFmtId="0" fontId="122" fillId="0" borderId="0" xfId="21" applyFont="1" applyFill="1" applyAlignment="1">
      <alignment horizontal="left"/>
    </xf>
    <xf numFmtId="0" fontId="2" fillId="0" borderId="0" xfId="21" applyFont="1" applyFill="1" applyAlignment="1">
      <alignment horizontal="left"/>
    </xf>
    <xf numFmtId="167" fontId="3" fillId="0" borderId="0" xfId="12" applyNumberFormat="1" applyFont="1" applyFill="1" applyAlignment="1"/>
    <xf numFmtId="0" fontId="82" fillId="0" borderId="0" xfId="8" applyNumberFormat="1" applyFont="1" applyAlignment="1"/>
    <xf numFmtId="0" fontId="137" fillId="0" borderId="0" xfId="8" applyNumberFormat="1" applyFont="1" applyAlignment="1"/>
    <xf numFmtId="0" fontId="83" fillId="0" borderId="0" xfId="8" applyNumberFormat="1" applyFont="1" applyAlignment="1">
      <alignment horizontal="left"/>
    </xf>
    <xf numFmtId="0" fontId="80" fillId="0" borderId="0" xfId="0" applyNumberFormat="1" applyFont="1" applyFill="1" applyAlignment="1"/>
    <xf numFmtId="167" fontId="83" fillId="0" borderId="0" xfId="0" applyNumberFormat="1" applyFont="1" applyFill="1" applyAlignment="1">
      <alignment horizontal="right"/>
    </xf>
    <xf numFmtId="4" fontId="80" fillId="0" borderId="0" xfId="0" applyNumberFormat="1" applyFont="1" applyAlignment="1"/>
    <xf numFmtId="0" fontId="87" fillId="0" borderId="0" xfId="0" applyNumberFormat="1" applyFont="1" applyFill="1" applyAlignment="1"/>
    <xf numFmtId="0" fontId="102" fillId="0" borderId="0" xfId="0" applyNumberFormat="1" applyFont="1" applyAlignment="1"/>
    <xf numFmtId="0" fontId="81" fillId="0" borderId="0" xfId="8" applyNumberFormat="1" applyFont="1" applyAlignment="1">
      <alignment horizontal="center"/>
    </xf>
    <xf numFmtId="0" fontId="138" fillId="0" borderId="0" xfId="8" applyNumberFormat="1" applyFont="1" applyAlignment="1"/>
    <xf numFmtId="172" fontId="83" fillId="0" borderId="0" xfId="8" applyNumberFormat="1" applyFont="1" applyAlignment="1"/>
    <xf numFmtId="0" fontId="83" fillId="0" borderId="0" xfId="8" applyNumberFormat="1" applyFont="1" applyFill="1" applyAlignment="1">
      <alignment horizontal="left"/>
    </xf>
    <xf numFmtId="0" fontId="80" fillId="0" borderId="0" xfId="35" applyFont="1" applyFill="1"/>
    <xf numFmtId="3" fontId="80" fillId="0" borderId="0" xfId="35" applyNumberFormat="1" applyFont="1" applyFill="1"/>
    <xf numFmtId="169" fontId="94" fillId="0" borderId="0" xfId="38" applyNumberFormat="1" applyFont="1" applyFill="1"/>
    <xf numFmtId="3" fontId="94" fillId="0" borderId="0" xfId="22" applyNumberFormat="1" applyFont="1" applyFill="1"/>
    <xf numFmtId="0" fontId="80" fillId="0" borderId="0" xfId="25" applyFont="1"/>
    <xf numFmtId="0" fontId="23" fillId="0" borderId="0" xfId="0" applyFont="1" applyAlignment="1"/>
    <xf numFmtId="0" fontId="0" fillId="0" borderId="0" xfId="0" applyAlignment="1"/>
    <xf numFmtId="0" fontId="34" fillId="0" borderId="0" xfId="10" applyFont="1" applyFill="1"/>
    <xf numFmtId="0" fontId="23" fillId="0" borderId="0" xfId="10" applyFont="1" applyFill="1"/>
    <xf numFmtId="167" fontId="23" fillId="0" borderId="0" xfId="10" applyNumberFormat="1" applyFont="1" applyFill="1"/>
    <xf numFmtId="167" fontId="23" fillId="0" borderId="0" xfId="3" applyNumberFormat="1" applyFont="1" applyFill="1"/>
    <xf numFmtId="10" fontId="23" fillId="0" borderId="0" xfId="38" applyNumberFormat="1" applyFont="1" applyFill="1"/>
    <xf numFmtId="0" fontId="23" fillId="0" borderId="0" xfId="10" applyFont="1" applyFill="1" applyBorder="1"/>
    <xf numFmtId="169" fontId="23" fillId="0" borderId="0" xfId="10" applyNumberFormat="1" applyFont="1" applyFill="1" applyBorder="1"/>
    <xf numFmtId="3" fontId="23" fillId="0" borderId="0" xfId="10" applyNumberFormat="1" applyFont="1" applyFill="1"/>
    <xf numFmtId="3" fontId="23" fillId="0" borderId="0" xfId="3" applyNumberFormat="1" applyFont="1" applyFill="1"/>
    <xf numFmtId="3" fontId="23" fillId="0" borderId="0" xfId="6" applyNumberFormat="1" applyFont="1" applyFill="1" applyBorder="1"/>
    <xf numFmtId="3" fontId="23" fillId="0" borderId="0" xfId="6" applyNumberFormat="1" applyFont="1" applyFill="1"/>
    <xf numFmtId="0" fontId="25" fillId="0" borderId="0" xfId="10" applyFont="1" applyFill="1" applyBorder="1"/>
    <xf numFmtId="167" fontId="23" fillId="0" borderId="0" xfId="6" applyNumberFormat="1" applyFont="1" applyFill="1"/>
    <xf numFmtId="42" fontId="25" fillId="0" borderId="0" xfId="10" applyNumberFormat="1" applyFont="1" applyFill="1"/>
    <xf numFmtId="0" fontId="25" fillId="0" borderId="0" xfId="10" applyFont="1" applyFill="1"/>
    <xf numFmtId="0" fontId="25" fillId="0" borderId="19" xfId="10" applyFont="1" applyFill="1" applyBorder="1" applyAlignment="1">
      <alignment horizontal="left"/>
    </xf>
    <xf numFmtId="167" fontId="25" fillId="0" borderId="0" xfId="10" applyNumberFormat="1" applyFont="1" applyFill="1" applyBorder="1"/>
    <xf numFmtId="0" fontId="84" fillId="0" borderId="0" xfId="10" applyFont="1" applyFill="1"/>
    <xf numFmtId="10" fontId="25" fillId="0" borderId="0" xfId="38" applyNumberFormat="1" applyFont="1" applyFill="1"/>
    <xf numFmtId="0" fontId="17" fillId="0" borderId="0" xfId="10" applyFont="1" applyFill="1"/>
    <xf numFmtId="10" fontId="17" fillId="0" borderId="0" xfId="38" applyNumberFormat="1" applyFont="1" applyFill="1"/>
    <xf numFmtId="0" fontId="139" fillId="0" borderId="19" xfId="10" applyFont="1" applyFill="1" applyBorder="1" applyAlignment="1">
      <alignment horizontal="left"/>
    </xf>
    <xf numFmtId="0" fontId="25" fillId="0" borderId="54" xfId="10" applyFont="1" applyFill="1" applyBorder="1" applyAlignment="1">
      <alignment horizontal="center"/>
    </xf>
    <xf numFmtId="0" fontId="25" fillId="0" borderId="0" xfId="10" applyFont="1" applyFill="1" applyBorder="1" applyAlignment="1">
      <alignment horizontal="center"/>
    </xf>
    <xf numFmtId="0" fontId="25" fillId="0" borderId="50" xfId="10" applyFont="1" applyFill="1" applyBorder="1" applyAlignment="1">
      <alignment horizontal="center"/>
    </xf>
    <xf numFmtId="167" fontId="23" fillId="0" borderId="0" xfId="9" applyNumberFormat="1" applyFont="1" applyFill="1"/>
    <xf numFmtId="10" fontId="23" fillId="0" borderId="0" xfId="9" applyNumberFormat="1" applyFont="1" applyFill="1"/>
    <xf numFmtId="3" fontId="23" fillId="0" borderId="0" xfId="9" applyNumberFormat="1" applyFont="1" applyFill="1"/>
    <xf numFmtId="0" fontId="2" fillId="0" borderId="0" xfId="10" applyFont="1" applyFill="1"/>
    <xf numFmtId="10" fontId="2" fillId="0" borderId="0" xfId="38" applyNumberFormat="1" applyFont="1" applyFill="1"/>
    <xf numFmtId="3" fontId="23" fillId="0" borderId="0" xfId="9" applyNumberFormat="1" applyFont="1" applyFill="1" applyBorder="1"/>
    <xf numFmtId="10" fontId="23" fillId="0" borderId="0" xfId="9" applyNumberFormat="1" applyFont="1" applyFill="1" applyBorder="1"/>
    <xf numFmtId="3" fontId="23" fillId="0" borderId="0" xfId="10" applyNumberFormat="1" applyFont="1" applyFill="1" applyBorder="1"/>
    <xf numFmtId="10" fontId="23" fillId="0" borderId="0" xfId="10" applyNumberFormat="1" applyFont="1" applyFill="1" applyBorder="1"/>
    <xf numFmtId="0" fontId="25" fillId="0" borderId="15" xfId="10" applyFont="1" applyFill="1" applyBorder="1"/>
    <xf numFmtId="167" fontId="25" fillId="0" borderId="15" xfId="10" applyNumberFormat="1" applyFont="1" applyFill="1" applyBorder="1"/>
    <xf numFmtId="10" fontId="25" fillId="0" borderId="15" xfId="38" applyNumberFormat="1" applyFont="1" applyFill="1" applyBorder="1"/>
    <xf numFmtId="0" fontId="25" fillId="0" borderId="13" xfId="10" applyFont="1" applyFill="1" applyBorder="1"/>
    <xf numFmtId="167" fontId="25" fillId="0" borderId="13" xfId="10" applyNumberFormat="1" applyFont="1" applyFill="1" applyBorder="1"/>
    <xf numFmtId="10" fontId="25" fillId="0" borderId="13" xfId="38" applyNumberFormat="1" applyFont="1" applyFill="1" applyBorder="1"/>
    <xf numFmtId="0" fontId="23" fillId="0" borderId="19" xfId="10" applyFont="1" applyFill="1" applyBorder="1"/>
    <xf numFmtId="10" fontId="23" fillId="0" borderId="0" xfId="10" applyNumberFormat="1" applyFont="1" applyFill="1"/>
    <xf numFmtId="167" fontId="25" fillId="0" borderId="0" xfId="10" applyNumberFormat="1" applyFont="1" applyFill="1"/>
    <xf numFmtId="167" fontId="140" fillId="0" borderId="0" xfId="10" applyNumberFormat="1" applyFont="1" applyFill="1"/>
    <xf numFmtId="10" fontId="23" fillId="0" borderId="0" xfId="36" applyNumberFormat="1" applyFont="1" applyFill="1"/>
    <xf numFmtId="179" fontId="23" fillId="0" borderId="0" xfId="41" applyNumberFormat="1" applyFont="1" applyFill="1"/>
    <xf numFmtId="179" fontId="23" fillId="0" borderId="0" xfId="10" applyNumberFormat="1" applyFont="1" applyFill="1"/>
    <xf numFmtId="0" fontId="34" fillId="0" borderId="0" xfId="10" applyFont="1" applyFill="1" applyBorder="1"/>
    <xf numFmtId="3" fontId="25" fillId="0" borderId="0" xfId="10" applyNumberFormat="1" applyFont="1" applyFill="1"/>
    <xf numFmtId="0" fontId="17" fillId="0" borderId="0" xfId="10" applyFont="1" applyFill="1" applyAlignment="1">
      <alignment horizontal="left"/>
    </xf>
    <xf numFmtId="0" fontId="25" fillId="0" borderId="0" xfId="10" applyFont="1" applyFill="1" applyAlignment="1">
      <alignment horizontal="left"/>
    </xf>
    <xf numFmtId="10" fontId="25" fillId="0" borderId="0" xfId="38" applyNumberFormat="1" applyFont="1" applyFill="1" applyAlignment="1">
      <alignment horizontal="left"/>
    </xf>
    <xf numFmtId="10" fontId="25" fillId="0" borderId="0" xfId="38" applyNumberFormat="1" applyFont="1" applyFill="1" applyBorder="1" applyAlignment="1">
      <alignment horizontal="left"/>
    </xf>
    <xf numFmtId="10" fontId="25" fillId="0" borderId="0" xfId="38" applyNumberFormat="1" applyFont="1" applyFill="1" applyAlignment="1">
      <alignment horizontal="center"/>
    </xf>
    <xf numFmtId="0" fontId="25" fillId="0" borderId="50" xfId="10" applyFont="1" applyFill="1" applyBorder="1"/>
    <xf numFmtId="3" fontId="25" fillId="0" borderId="50" xfId="10" applyNumberFormat="1" applyFont="1" applyFill="1" applyBorder="1" applyAlignment="1">
      <alignment horizontal="center"/>
    </xf>
    <xf numFmtId="10" fontId="25" fillId="0" borderId="0" xfId="38" applyNumberFormat="1" applyFont="1" applyFill="1" applyBorder="1" applyAlignment="1">
      <alignment horizontal="center"/>
    </xf>
    <xf numFmtId="167" fontId="23" fillId="0" borderId="0" xfId="9" quotePrefix="1" applyNumberFormat="1" applyFont="1" applyFill="1" applyAlignment="1">
      <alignment horizontal="right"/>
    </xf>
    <xf numFmtId="167" fontId="23" fillId="0" borderId="0" xfId="10" applyNumberFormat="1" applyFont="1" applyFill="1" applyAlignment="1">
      <alignment horizontal="right"/>
    </xf>
    <xf numFmtId="167" fontId="23" fillId="0" borderId="0" xfId="9" quotePrefix="1" applyNumberFormat="1" applyFont="1" applyFill="1" applyBorder="1" applyAlignment="1">
      <alignment horizontal="right"/>
    </xf>
    <xf numFmtId="10" fontId="23" fillId="0" borderId="0" xfId="38" quotePrefix="1" applyNumberFormat="1" applyFont="1" applyFill="1" applyBorder="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0" fontId="23" fillId="0" borderId="0" xfId="10" applyFont="1" applyFill="1" applyAlignment="1">
      <alignment horizontal="right"/>
    </xf>
    <xf numFmtId="3" fontId="23" fillId="0" borderId="0" xfId="9" applyNumberFormat="1" applyFont="1" applyFill="1" applyAlignment="1">
      <alignment horizontal="right"/>
    </xf>
    <xf numFmtId="0" fontId="23" fillId="0" borderId="0" xfId="9" applyNumberFormat="1" applyFont="1" applyFill="1"/>
    <xf numFmtId="0" fontId="23" fillId="0" borderId="0" xfId="9" quotePrefix="1" applyNumberFormat="1" applyFont="1" applyFill="1" applyAlignment="1">
      <alignment horizontal="right"/>
    </xf>
    <xf numFmtId="0" fontId="23" fillId="0" borderId="0" xfId="9" applyFont="1" applyFill="1"/>
    <xf numFmtId="0" fontId="23" fillId="0" borderId="0" xfId="9" applyNumberFormat="1" applyFont="1" applyFill="1" applyAlignment="1">
      <alignment horizontal="left"/>
    </xf>
    <xf numFmtId="0" fontId="23" fillId="0" borderId="0" xfId="9" applyFont="1" applyFill="1" applyAlignment="1">
      <alignment horizontal="right"/>
    </xf>
    <xf numFmtId="0" fontId="23" fillId="0" borderId="0" xfId="9" quotePrefix="1" applyNumberFormat="1" applyFont="1" applyFill="1" applyBorder="1" applyAlignment="1">
      <alignment horizontal="right"/>
    </xf>
    <xf numFmtId="3" fontId="23" fillId="0" borderId="0" xfId="9" applyNumberFormat="1" applyFont="1" applyFill="1" applyBorder="1" applyAlignment="1">
      <alignment horizontal="right"/>
    </xf>
    <xf numFmtId="10" fontId="23" fillId="0" borderId="0" xfId="38" applyNumberFormat="1" applyFont="1" applyFill="1" applyAlignment="1">
      <alignment horizontal="right"/>
    </xf>
    <xf numFmtId="10" fontId="17" fillId="0" borderId="0" xfId="38" applyNumberFormat="1" applyFont="1" applyFill="1" applyAlignment="1">
      <alignment horizontal="left"/>
    </xf>
    <xf numFmtId="10" fontId="17" fillId="0" borderId="0" xfId="38" applyNumberFormat="1" applyFont="1" applyFill="1" applyBorder="1" applyAlignment="1">
      <alignment horizontal="left"/>
    </xf>
    <xf numFmtId="10" fontId="25" fillId="0" borderId="0" xfId="38" applyNumberFormat="1" applyFont="1" applyFill="1" applyBorder="1"/>
    <xf numFmtId="3" fontId="23" fillId="0" borderId="19" xfId="10" applyNumberFormat="1" applyFont="1" applyFill="1" applyBorder="1"/>
    <xf numFmtId="10" fontId="23" fillId="0" borderId="0" xfId="38" applyNumberFormat="1" applyFont="1" applyFill="1" applyBorder="1"/>
    <xf numFmtId="3" fontId="84" fillId="0" borderId="0" xfId="10" applyNumberFormat="1" applyFont="1" applyFill="1"/>
    <xf numFmtId="10" fontId="84" fillId="0" borderId="0" xfId="38" applyNumberFormat="1" applyFont="1" applyFill="1"/>
    <xf numFmtId="167" fontId="96" fillId="0" borderId="15" xfId="10" applyNumberFormat="1" applyFont="1" applyFill="1" applyBorder="1"/>
    <xf numFmtId="10" fontId="96" fillId="0" borderId="0" xfId="38" applyNumberFormat="1" applyFont="1" applyFill="1" applyBorder="1"/>
    <xf numFmtId="0" fontId="96" fillId="0" borderId="15" xfId="10" applyFont="1" applyFill="1" applyBorder="1"/>
    <xf numFmtId="0" fontId="84" fillId="0" borderId="0" xfId="10" applyFont="1" applyFill="1" applyBorder="1"/>
    <xf numFmtId="167" fontId="142" fillId="0" borderId="0" xfId="10" applyNumberFormat="1" applyFont="1" applyFill="1" applyBorder="1"/>
    <xf numFmtId="10" fontId="84" fillId="0" borderId="0" xfId="38" applyNumberFormat="1" applyFont="1" applyFill="1" applyBorder="1"/>
    <xf numFmtId="10" fontId="23" fillId="0" borderId="0" xfId="38" applyNumberFormat="1" applyFont="1" applyFill="1" applyBorder="1" applyAlignment="1">
      <alignment horizontal="left"/>
    </xf>
    <xf numFmtId="10" fontId="23" fillId="0" borderId="0" xfId="38" applyNumberFormat="1" applyFont="1" applyFill="1" applyAlignment="1">
      <alignment horizontal="left"/>
    </xf>
    <xf numFmtId="0" fontId="140" fillId="0" borderId="0" xfId="10" applyFont="1" applyFill="1"/>
    <xf numFmtId="167" fontId="140" fillId="0" borderId="0" xfId="10" applyNumberFormat="1" applyFont="1" applyFill="1" applyBorder="1"/>
    <xf numFmtId="3" fontId="140" fillId="0" borderId="0" xfId="10" applyNumberFormat="1" applyFont="1" applyFill="1"/>
    <xf numFmtId="0" fontId="95" fillId="0" borderId="0" xfId="10" applyFont="1" applyFill="1" applyAlignment="1"/>
    <xf numFmtId="0" fontId="12" fillId="0" borderId="0" xfId="10" applyFill="1" applyAlignment="1"/>
    <xf numFmtId="0" fontId="17" fillId="0" borderId="0" xfId="10" applyFont="1" applyFill="1" applyAlignment="1">
      <alignment horizontal="center"/>
    </xf>
    <xf numFmtId="0" fontId="17" fillId="0" borderId="0" xfId="10" applyFont="1" applyFill="1" applyBorder="1" applyAlignment="1">
      <alignment horizontal="center"/>
    </xf>
    <xf numFmtId="0" fontId="12" fillId="0" borderId="0" xfId="10" applyFill="1" applyAlignment="1">
      <alignment horizontal="center"/>
    </xf>
    <xf numFmtId="0" fontId="17" fillId="0" borderId="50" xfId="10" applyFont="1" applyFill="1" applyBorder="1" applyAlignment="1">
      <alignment horizontal="center"/>
    </xf>
    <xf numFmtId="0" fontId="17" fillId="0" borderId="13" xfId="10" applyFont="1" applyFill="1" applyBorder="1" applyAlignment="1">
      <alignment horizontal="center"/>
    </xf>
    <xf numFmtId="0" fontId="2" fillId="0" borderId="0" xfId="10" applyFont="1" applyFill="1" applyAlignment="1"/>
    <xf numFmtId="0" fontId="17" fillId="0" borderId="0" xfId="10" applyFont="1" applyFill="1" applyAlignment="1"/>
    <xf numFmtId="0" fontId="12" fillId="0" borderId="0" xfId="10" applyFill="1" applyBorder="1" applyAlignment="1">
      <alignment horizontal="left"/>
    </xf>
    <xf numFmtId="167" fontId="12" fillId="0" borderId="0" xfId="10" applyNumberFormat="1" applyFill="1" applyBorder="1" applyAlignment="1"/>
    <xf numFmtId="168" fontId="12" fillId="0" borderId="0" xfId="10" applyNumberFormat="1" applyFill="1" applyAlignment="1"/>
    <xf numFmtId="3" fontId="2" fillId="0" borderId="0" xfId="10" applyNumberFormat="1" applyFont="1" applyFill="1" applyBorder="1" applyAlignment="1"/>
    <xf numFmtId="3" fontId="12" fillId="0" borderId="0" xfId="10" applyNumberFormat="1" applyFill="1" applyBorder="1" applyAlignment="1"/>
    <xf numFmtId="0" fontId="12" fillId="0" borderId="0" xfId="10" applyFill="1" applyBorder="1" applyAlignment="1"/>
    <xf numFmtId="0" fontId="12" fillId="0" borderId="50" xfId="10" applyFill="1" applyBorder="1" applyAlignment="1">
      <alignment horizontal="left"/>
    </xf>
    <xf numFmtId="3" fontId="12" fillId="0" borderId="50" xfId="10" applyNumberFormat="1" applyFill="1" applyBorder="1" applyAlignment="1"/>
    <xf numFmtId="169" fontId="117" fillId="0" borderId="0" xfId="36" applyNumberFormat="1" applyFont="1" applyFill="1" applyAlignment="1"/>
    <xf numFmtId="169" fontId="129" fillId="0" borderId="0" xfId="36" applyNumberFormat="1" applyFont="1" applyFill="1" applyAlignment="1"/>
    <xf numFmtId="168" fontId="2" fillId="0" borderId="0" xfId="10" applyNumberFormat="1" applyFont="1" applyFill="1" applyBorder="1" applyAlignment="1"/>
    <xf numFmtId="4" fontId="2" fillId="0" borderId="0" xfId="10" applyNumberFormat="1" applyFont="1" applyFill="1" applyBorder="1" applyAlignment="1"/>
    <xf numFmtId="4" fontId="2" fillId="0" borderId="50" xfId="10" applyNumberFormat="1" applyFont="1" applyFill="1" applyBorder="1" applyAlignment="1"/>
    <xf numFmtId="0" fontId="129" fillId="0" borderId="0" xfId="10" applyFont="1" applyFill="1" applyAlignment="1"/>
    <xf numFmtId="0" fontId="120" fillId="0" borderId="0" xfId="10" applyFont="1" applyFill="1" applyAlignment="1"/>
    <xf numFmtId="0" fontId="84" fillId="0" borderId="0" xfId="16" applyFont="1" applyAlignment="1">
      <alignment horizontal="left" wrapText="1"/>
    </xf>
    <xf numFmtId="0" fontId="143" fillId="0" borderId="0" xfId="0" applyNumberFormat="1" applyFont="1" applyAlignment="1"/>
    <xf numFmtId="37" fontId="88" fillId="0" borderId="0" xfId="16" applyNumberFormat="1" applyFont="1" applyProtection="1"/>
    <xf numFmtId="0" fontId="104" fillId="0" borderId="0" xfId="29" applyFont="1" applyFill="1"/>
    <xf numFmtId="0" fontId="23" fillId="0" borderId="0" xfId="16" applyFont="1" applyFill="1" applyAlignment="1" applyProtection="1">
      <alignment horizontal="left"/>
    </xf>
    <xf numFmtId="169" fontId="57" fillId="0" borderId="0" xfId="36" applyNumberFormat="1" applyFont="1" applyFill="1" applyAlignment="1"/>
    <xf numFmtId="9" fontId="145" fillId="0" borderId="0" xfId="36" applyFont="1" applyFill="1"/>
    <xf numFmtId="0" fontId="84" fillId="0" borderId="0" xfId="16" applyFont="1" applyAlignment="1">
      <alignment horizontal="left" wrapText="1"/>
    </xf>
    <xf numFmtId="0" fontId="118" fillId="0" borderId="0" xfId="0" applyNumberFormat="1" applyFont="1" applyAlignment="1"/>
    <xf numFmtId="5" fontId="2" fillId="0" borderId="0" xfId="16" quotePrefix="1" applyNumberFormat="1" applyFont="1" applyProtection="1"/>
    <xf numFmtId="0" fontId="58" fillId="0" borderId="0" xfId="8" applyNumberFormat="1" applyFont="1" applyAlignment="1">
      <alignment horizontal="left"/>
    </xf>
    <xf numFmtId="169" fontId="94" fillId="0" borderId="0" xfId="22" applyNumberFormat="1" applyFont="1" applyFill="1"/>
    <xf numFmtId="0" fontId="2" fillId="0" borderId="0" xfId="25" applyFont="1" applyFill="1"/>
    <xf numFmtId="0" fontId="44" fillId="0" borderId="0" xfId="25" applyFill="1"/>
    <xf numFmtId="0" fontId="44" fillId="0" borderId="0" xfId="25" applyFill="1" applyAlignment="1">
      <alignment horizontal="right"/>
    </xf>
    <xf numFmtId="179" fontId="44" fillId="0" borderId="0" xfId="41" applyNumberFormat="1" applyFont="1" applyFill="1"/>
    <xf numFmtId="179" fontId="44" fillId="0" borderId="0" xfId="41" applyNumberFormat="1" applyFont="1" applyFill="1" applyAlignment="1">
      <alignment horizontal="right"/>
    </xf>
    <xf numFmtId="7" fontId="58" fillId="0" borderId="0" xfId="16" applyNumberFormat="1" applyFont="1" applyFill="1"/>
    <xf numFmtId="3" fontId="12" fillId="0" borderId="0" xfId="38" applyNumberFormat="1" applyFont="1" applyFill="1"/>
    <xf numFmtId="3" fontId="95" fillId="0" borderId="15" xfId="11" applyNumberFormat="1" applyFont="1" applyFill="1" applyBorder="1" applyAlignment="1"/>
    <xf numFmtId="37" fontId="22" fillId="37" borderId="0" xfId="17" applyNumberFormat="1" applyFont="1" applyFill="1" applyAlignment="1" applyProtection="1">
      <alignment horizontal="left"/>
    </xf>
    <xf numFmtId="0" fontId="12" fillId="37" borderId="0" xfId="17" applyFont="1" applyFill="1" applyAlignment="1" applyProtection="1">
      <alignment horizontal="left"/>
    </xf>
    <xf numFmtId="37" fontId="28" fillId="37" borderId="0" xfId="17" applyNumberFormat="1" applyFont="1" applyFill="1" applyProtection="1"/>
    <xf numFmtId="0" fontId="28" fillId="37" borderId="0" xfId="17" applyFont="1" applyFill="1" applyProtection="1"/>
    <xf numFmtId="37" fontId="12" fillId="37" borderId="0" xfId="17" applyNumberFormat="1" applyFont="1" applyFill="1" applyAlignment="1" applyProtection="1">
      <alignment horizontal="centerContinuous"/>
    </xf>
    <xf numFmtId="37" fontId="17" fillId="37" borderId="0" xfId="17" applyNumberFormat="1" applyFont="1" applyFill="1" applyAlignment="1" applyProtection="1">
      <alignment horizontal="left"/>
    </xf>
    <xf numFmtId="37" fontId="88" fillId="37" borderId="0" xfId="17" applyNumberFormat="1" applyFont="1" applyFill="1" applyAlignment="1" applyProtection="1">
      <alignment horizontal="left"/>
    </xf>
    <xf numFmtId="5" fontId="35" fillId="37" borderId="6" xfId="17" applyNumberFormat="1" applyFont="1" applyFill="1" applyBorder="1" applyProtection="1"/>
    <xf numFmtId="37" fontId="108" fillId="37" borderId="6" xfId="17" applyNumberFormat="1" applyFont="1" applyFill="1" applyBorder="1" applyAlignment="1" applyProtection="1">
      <alignment horizontal="center"/>
    </xf>
    <xf numFmtId="37" fontId="35" fillId="37" borderId="6" xfId="17" applyNumberFormat="1" applyFont="1" applyFill="1" applyBorder="1" applyAlignment="1" applyProtection="1">
      <alignment horizontal="center"/>
    </xf>
    <xf numFmtId="0" fontId="35" fillId="37" borderId="0" xfId="17" applyFont="1" applyFill="1" applyBorder="1" applyProtection="1"/>
    <xf numFmtId="0" fontId="35" fillId="37" borderId="6" xfId="17" applyFont="1" applyFill="1" applyBorder="1" applyProtection="1"/>
    <xf numFmtId="5" fontId="35" fillId="37" borderId="7" xfId="17" applyNumberFormat="1" applyFont="1" applyFill="1" applyBorder="1" applyAlignment="1" applyProtection="1">
      <alignment horizontal="center"/>
    </xf>
    <xf numFmtId="37" fontId="108" fillId="37" borderId="7" xfId="17" applyNumberFormat="1" applyFont="1" applyFill="1" applyBorder="1" applyAlignment="1" applyProtection="1">
      <alignment horizontal="center"/>
    </xf>
    <xf numFmtId="37" fontId="35" fillId="37" borderId="7" xfId="17" applyNumberFormat="1" applyFont="1" applyFill="1" applyBorder="1" applyAlignment="1" applyProtection="1">
      <alignment horizontal="center"/>
    </xf>
    <xf numFmtId="5" fontId="35" fillId="37" borderId="7" xfId="17" applyNumberFormat="1" applyFont="1" applyFill="1" applyBorder="1" applyProtection="1"/>
    <xf numFmtId="5" fontId="36" fillId="37" borderId="0" xfId="17" applyNumberFormat="1" applyFont="1" applyFill="1" applyBorder="1" applyProtection="1"/>
    <xf numFmtId="5" fontId="98" fillId="37" borderId="0" xfId="17" applyNumberFormat="1" applyFont="1" applyFill="1" applyBorder="1" applyProtection="1"/>
    <xf numFmtId="5" fontId="13" fillId="37" borderId="0" xfId="17" applyNumberFormat="1" applyFont="1" applyFill="1" applyBorder="1" applyProtection="1"/>
    <xf numFmtId="10" fontId="37" fillId="37" borderId="0" xfId="38" applyNumberFormat="1" applyFont="1" applyFill="1" applyBorder="1" applyProtection="1"/>
    <xf numFmtId="0" fontId="36" fillId="37" borderId="0" xfId="17" applyFont="1" applyFill="1" applyBorder="1" applyProtection="1"/>
    <xf numFmtId="10" fontId="37" fillId="37" borderId="0" xfId="38" applyNumberFormat="1" applyFont="1" applyFill="1" applyProtection="1"/>
    <xf numFmtId="37" fontId="13" fillId="37" borderId="0" xfId="27" applyNumberFormat="1" applyFont="1" applyFill="1" applyBorder="1"/>
    <xf numFmtId="37" fontId="36" fillId="37" borderId="0" xfId="17" applyNumberFormat="1" applyFont="1" applyFill="1" applyBorder="1" applyProtection="1"/>
    <xf numFmtId="37" fontId="98" fillId="37" borderId="0" xfId="27" applyNumberFormat="1" applyFont="1" applyFill="1" applyBorder="1"/>
    <xf numFmtId="5" fontId="36" fillId="37" borderId="1" xfId="17" applyNumberFormat="1" applyFont="1" applyFill="1" applyBorder="1" applyProtection="1"/>
    <xf numFmtId="37" fontId="13" fillId="37" borderId="1" xfId="27" applyNumberFormat="1" applyFont="1" applyFill="1" applyBorder="1"/>
    <xf numFmtId="37" fontId="36" fillId="37" borderId="50" xfId="17" applyNumberFormat="1" applyFont="1" applyFill="1" applyBorder="1" applyProtection="1"/>
    <xf numFmtId="0" fontId="36" fillId="37" borderId="1" xfId="17" applyFont="1" applyFill="1" applyBorder="1" applyProtection="1"/>
    <xf numFmtId="4" fontId="12" fillId="37" borderId="0" xfId="27" applyNumberFormat="1" applyFill="1"/>
    <xf numFmtId="37" fontId="36" fillId="37" borderId="0" xfId="17" applyNumberFormat="1" applyFont="1" applyFill="1" applyProtection="1"/>
    <xf numFmtId="0" fontId="36" fillId="37" borderId="0" xfId="17" applyFont="1" applyFill="1" applyProtection="1"/>
    <xf numFmtId="37" fontId="12" fillId="37" borderId="0" xfId="17" applyNumberFormat="1" applyFont="1" applyFill="1" applyProtection="1"/>
    <xf numFmtId="0" fontId="12" fillId="37" borderId="0" xfId="17" applyFont="1" applyFill="1" applyProtection="1"/>
    <xf numFmtId="5" fontId="36" fillId="37" borderId="6" xfId="17" applyNumberFormat="1" applyFont="1" applyFill="1" applyBorder="1" applyProtection="1"/>
    <xf numFmtId="0" fontId="36" fillId="37" borderId="6" xfId="17" applyFont="1" applyFill="1" applyBorder="1" applyProtection="1"/>
    <xf numFmtId="175" fontId="13" fillId="37" borderId="0" xfId="27" applyNumberFormat="1" applyFont="1" applyFill="1" applyBorder="1"/>
    <xf numFmtId="5" fontId="13" fillId="37" borderId="0" xfId="27" applyNumberFormat="1" applyFont="1" applyFill="1" applyBorder="1"/>
    <xf numFmtId="0" fontId="99" fillId="37" borderId="0" xfId="17" applyFont="1" applyFill="1" applyProtection="1"/>
    <xf numFmtId="5" fontId="35" fillId="37" borderId="8" xfId="17" applyNumberFormat="1" applyFont="1" applyFill="1" applyBorder="1" applyProtection="1"/>
    <xf numFmtId="0" fontId="12" fillId="37" borderId="0" xfId="17" applyFont="1" applyFill="1" applyBorder="1" applyProtection="1"/>
    <xf numFmtId="37" fontId="12" fillId="37" borderId="0" xfId="17" applyNumberFormat="1" applyFont="1" applyFill="1" applyBorder="1" applyProtection="1"/>
    <xf numFmtId="0" fontId="35" fillId="37" borderId="8" xfId="17" applyFont="1" applyFill="1" applyBorder="1" applyProtection="1"/>
    <xf numFmtId="0" fontId="88" fillId="37" borderId="0" xfId="17" applyFont="1" applyFill="1" applyProtection="1"/>
    <xf numFmtId="0" fontId="23" fillId="37" borderId="0" xfId="10" applyFont="1" applyFill="1"/>
    <xf numFmtId="0" fontId="116" fillId="37" borderId="0" xfId="10" applyFont="1" applyFill="1"/>
    <xf numFmtId="37" fontId="13" fillId="37" borderId="0" xfId="17" applyNumberFormat="1" applyFont="1" applyFill="1" applyProtection="1"/>
    <xf numFmtId="0" fontId="116" fillId="37" borderId="0" xfId="10" applyFont="1" applyFill="1" applyBorder="1" applyAlignment="1"/>
    <xf numFmtId="0" fontId="0" fillId="37" borderId="0" xfId="0" applyFill="1" applyAlignment="1"/>
    <xf numFmtId="0" fontId="23" fillId="37" borderId="0" xfId="10" applyFont="1" applyFill="1" applyBorder="1" applyAlignment="1"/>
    <xf numFmtId="0" fontId="88" fillId="37" borderId="0" xfId="11" applyFont="1" applyFill="1"/>
    <xf numFmtId="0" fontId="120" fillId="0" borderId="0" xfId="25" applyFont="1"/>
    <xf numFmtId="0" fontId="146" fillId="0" borderId="0" xfId="20" applyFont="1" applyBorder="1" applyAlignment="1">
      <alignment horizontal="center"/>
    </xf>
    <xf numFmtId="0" fontId="18" fillId="0" borderId="57" xfId="21" applyNumberFormat="1" applyFont="1" applyFill="1" applyBorder="1" applyAlignment="1">
      <alignment horizontal="left"/>
    </xf>
    <xf numFmtId="3" fontId="2" fillId="0" borderId="0" xfId="0" applyNumberFormat="1" applyFont="1" applyAlignment="1">
      <alignment horizontal="right"/>
    </xf>
    <xf numFmtId="10" fontId="89" fillId="0" borderId="0" xfId="36" applyNumberFormat="1" applyFont="1" applyFill="1" applyBorder="1" applyAlignment="1"/>
    <xf numFmtId="0" fontId="149" fillId="0" borderId="0" xfId="0" applyNumberFormat="1" applyFont="1" applyAlignment="1">
      <alignment horizontal="center"/>
    </xf>
    <xf numFmtId="10" fontId="150" fillId="0" borderId="0" xfId="0" applyNumberFormat="1" applyFont="1" applyAlignment="1"/>
    <xf numFmtId="0" fontId="150" fillId="0" borderId="0" xfId="0" applyNumberFormat="1" applyFont="1" applyAlignment="1"/>
    <xf numFmtId="9" fontId="151" fillId="0" borderId="0" xfId="36" applyFont="1" applyAlignment="1"/>
    <xf numFmtId="10" fontId="152" fillId="0" borderId="0" xfId="0" applyNumberFormat="1" applyFont="1" applyAlignment="1"/>
    <xf numFmtId="164" fontId="150" fillId="0" borderId="0" xfId="0" applyNumberFormat="1" applyFont="1" applyAlignment="1"/>
    <xf numFmtId="165" fontId="150" fillId="0" borderId="0" xfId="0" applyNumberFormat="1" applyFont="1" applyAlignment="1"/>
    <xf numFmtId="10" fontId="107" fillId="0" borderId="0" xfId="0" applyNumberFormat="1" applyFont="1" applyAlignment="1"/>
    <xf numFmtId="169" fontId="107" fillId="0" borderId="0" xfId="0" applyNumberFormat="1" applyFont="1" applyAlignment="1">
      <alignment horizontal="right"/>
    </xf>
    <xf numFmtId="169" fontId="107" fillId="0" borderId="0" xfId="0" applyNumberFormat="1" applyFont="1" applyBorder="1" applyAlignment="1">
      <alignment horizontal="right"/>
    </xf>
    <xf numFmtId="4" fontId="104" fillId="0" borderId="0" xfId="0" applyNumberFormat="1" applyFont="1" applyAlignment="1"/>
    <xf numFmtId="0" fontId="104" fillId="0" borderId="0" xfId="0" applyNumberFormat="1" applyFont="1" applyFill="1" applyBorder="1" applyAlignment="1">
      <alignment vertical="center"/>
    </xf>
    <xf numFmtId="0" fontId="17" fillId="0" borderId="50" xfId="11" applyNumberFormat="1" applyFont="1" applyFill="1" applyBorder="1" applyAlignment="1">
      <alignment horizontal="center"/>
    </xf>
    <xf numFmtId="167" fontId="17" fillId="0" borderId="50" xfId="11" applyNumberFormat="1" applyFont="1" applyFill="1" applyBorder="1"/>
    <xf numFmtId="167" fontId="95" fillId="0" borderId="50" xfId="11" applyNumberFormat="1" applyFont="1" applyFill="1" applyBorder="1"/>
    <xf numFmtId="169" fontId="150" fillId="0" borderId="0" xfId="36" applyNumberFormat="1" applyFont="1"/>
    <xf numFmtId="179" fontId="153" fillId="0" borderId="0" xfId="41" applyNumberFormat="1" applyFont="1" applyFill="1"/>
    <xf numFmtId="10" fontId="153" fillId="0" borderId="0" xfId="36" applyNumberFormat="1" applyFont="1" applyFill="1"/>
    <xf numFmtId="10" fontId="114" fillId="0" borderId="0" xfId="0" applyNumberFormat="1" applyFont="1" applyFill="1" applyAlignment="1"/>
    <xf numFmtId="9" fontId="57" fillId="0" borderId="0" xfId="36" applyFont="1" applyAlignment="1"/>
    <xf numFmtId="0" fontId="57" fillId="0" borderId="0" xfId="0" applyNumberFormat="1" applyFont="1" applyFill="1" applyAlignment="1"/>
    <xf numFmtId="9" fontId="144" fillId="0" borderId="0" xfId="36" applyFont="1" applyFill="1"/>
    <xf numFmtId="37" fontId="2" fillId="0" borderId="58" xfId="14" applyNumberFormat="1" applyFont="1" applyBorder="1" applyProtection="1"/>
    <xf numFmtId="169" fontId="154" fillId="0" borderId="0" xfId="36" applyNumberFormat="1" applyFont="1" applyFill="1"/>
    <xf numFmtId="167" fontId="44" fillId="0" borderId="0" xfId="25" applyNumberFormat="1" applyFill="1"/>
    <xf numFmtId="3" fontId="44" fillId="0" borderId="0" xfId="25" applyNumberFormat="1" applyFont="1" applyFill="1"/>
    <xf numFmtId="10" fontId="83" fillId="0" borderId="1" xfId="0" applyNumberFormat="1" applyFont="1" applyFill="1" applyBorder="1" applyAlignment="1">
      <alignment horizontal="right"/>
    </xf>
    <xf numFmtId="10" fontId="81" fillId="0" borderId="0" xfId="0" applyNumberFormat="1" applyFont="1" applyFill="1" applyBorder="1" applyAlignment="1">
      <alignment horizontal="right"/>
    </xf>
    <xf numFmtId="10" fontId="6" fillId="0" borderId="5" xfId="0" applyNumberFormat="1" applyFont="1" applyFill="1" applyBorder="1" applyAlignment="1">
      <alignment horizontal="right"/>
    </xf>
    <xf numFmtId="3" fontId="6" fillId="0" borderId="0" xfId="35" applyNumberFormat="1" applyFont="1" applyFill="1" applyAlignment="1"/>
    <xf numFmtId="0" fontId="17" fillId="0" borderId="20" xfId="11" applyNumberFormat="1" applyFont="1" applyFill="1" applyBorder="1" applyAlignment="1">
      <alignment horizontal="center"/>
    </xf>
    <xf numFmtId="0" fontId="23" fillId="0" borderId="0" xfId="10" applyFont="1" applyFill="1" applyAlignment="1">
      <alignment horizontal="left"/>
    </xf>
    <xf numFmtId="0" fontId="25" fillId="0" borderId="0" xfId="10" applyFont="1" applyFill="1" applyBorder="1" applyAlignment="1">
      <alignment horizontal="left"/>
    </xf>
    <xf numFmtId="0" fontId="17" fillId="0" borderId="0" xfId="10" applyFont="1" applyFill="1" applyBorder="1" applyAlignment="1">
      <alignment horizontal="left"/>
    </xf>
    <xf numFmtId="37" fontId="36" fillId="0" borderId="0" xfId="17" applyNumberFormat="1" applyFont="1" applyFill="1" applyBorder="1" applyProtection="1"/>
    <xf numFmtId="0" fontId="119" fillId="0" borderId="0" xfId="0" applyNumberFormat="1" applyFont="1" applyFill="1" applyAlignment="1"/>
    <xf numFmtId="0" fontId="2" fillId="0" borderId="0" xfId="0" applyFont="1" applyAlignment="1">
      <alignment wrapText="1"/>
    </xf>
    <xf numFmtId="37" fontId="13" fillId="5" borderId="0" xfId="27" applyNumberFormat="1" applyFont="1" applyFill="1" applyBorder="1"/>
    <xf numFmtId="37" fontId="36" fillId="5" borderId="0" xfId="17" applyNumberFormat="1" applyFont="1" applyFill="1" applyBorder="1" applyProtection="1"/>
    <xf numFmtId="37" fontId="119" fillId="0" borderId="0" xfId="14" applyNumberFormat="1" applyFont="1" applyBorder="1" applyProtection="1"/>
    <xf numFmtId="0" fontId="23" fillId="0" borderId="0" xfId="10" applyNumberFormat="1" applyFont="1" applyFill="1" applyAlignment="1">
      <alignment horizontal="center"/>
    </xf>
    <xf numFmtId="0" fontId="25" fillId="0" borderId="50" xfId="10" applyNumberFormat="1" applyFont="1" applyFill="1" applyBorder="1" applyAlignment="1">
      <alignment horizontal="center"/>
    </xf>
    <xf numFmtId="0" fontId="23" fillId="0" borderId="0" xfId="0" applyNumberFormat="1" applyFont="1" applyFill="1" applyAlignment="1">
      <alignment horizontal="center"/>
    </xf>
    <xf numFmtId="0" fontId="23" fillId="0" borderId="0" xfId="9" applyNumberFormat="1" applyFont="1" applyFill="1" applyAlignment="1">
      <alignment horizontal="center"/>
    </xf>
    <xf numFmtId="0" fontId="25" fillId="0" borderId="15" xfId="10" applyNumberFormat="1" applyFont="1" applyFill="1" applyBorder="1" applyAlignment="1">
      <alignment horizontal="center"/>
    </xf>
    <xf numFmtId="0" fontId="23" fillId="0" borderId="54" xfId="10" applyNumberFormat="1" applyFont="1" applyFill="1" applyBorder="1" applyAlignment="1">
      <alignment horizontal="center"/>
    </xf>
    <xf numFmtId="0" fontId="25" fillId="0" borderId="0" xfId="10" applyNumberFormat="1" applyFont="1" applyFill="1" applyBorder="1" applyAlignment="1">
      <alignment horizontal="center"/>
    </xf>
    <xf numFmtId="0" fontId="23" fillId="0" borderId="15" xfId="10" applyNumberFormat="1" applyFont="1" applyFill="1" applyBorder="1" applyAlignment="1">
      <alignment horizontal="center"/>
    </xf>
    <xf numFmtId="0" fontId="140" fillId="0" borderId="0" xfId="10" applyNumberFormat="1" applyFont="1" applyFill="1" applyAlignment="1">
      <alignment horizontal="center"/>
    </xf>
    <xf numFmtId="0" fontId="25" fillId="0" borderId="0" xfId="10" applyFont="1" applyFill="1" applyAlignment="1">
      <alignment horizontal="center"/>
    </xf>
    <xf numFmtId="3" fontId="23" fillId="0" borderId="0" xfId="0" applyNumberFormat="1" applyFont="1" applyFill="1"/>
    <xf numFmtId="5" fontId="23" fillId="0" borderId="0" xfId="6" applyNumberFormat="1" applyFont="1" applyFill="1"/>
    <xf numFmtId="42" fontId="25" fillId="0" borderId="15" xfId="10" applyNumberFormat="1" applyFont="1" applyFill="1" applyBorder="1" applyAlignment="1">
      <alignment horizontal="center"/>
    </xf>
    <xf numFmtId="42" fontId="25" fillId="0" borderId="0" xfId="10" applyNumberFormat="1" applyFont="1" applyFill="1" applyBorder="1"/>
    <xf numFmtId="0" fontId="23" fillId="0" borderId="54" xfId="10" applyFont="1" applyFill="1" applyBorder="1"/>
    <xf numFmtId="42" fontId="25" fillId="0" borderId="15" xfId="10" applyNumberFormat="1" applyFont="1" applyFill="1" applyBorder="1"/>
    <xf numFmtId="0" fontId="23" fillId="0" borderId="15" xfId="10" applyFont="1" applyFill="1" applyBorder="1"/>
    <xf numFmtId="167" fontId="23" fillId="0" borderId="15" xfId="10" applyNumberFormat="1" applyFont="1" applyFill="1" applyBorder="1"/>
    <xf numFmtId="167" fontId="98" fillId="0" borderId="0" xfId="10" applyNumberFormat="1" applyFont="1" applyFill="1"/>
    <xf numFmtId="9" fontId="84" fillId="0" borderId="0" xfId="36" applyFont="1" applyFill="1"/>
    <xf numFmtId="167" fontId="153" fillId="0" borderId="0" xfId="10" applyNumberFormat="1" applyFont="1" applyFill="1"/>
    <xf numFmtId="179" fontId="84" fillId="0" borderId="0" xfId="41" applyNumberFormat="1" applyFont="1" applyFill="1"/>
    <xf numFmtId="167" fontId="96" fillId="0" borderId="0" xfId="10" applyNumberFormat="1" applyFont="1" applyFill="1" applyBorder="1"/>
    <xf numFmtId="10" fontId="96" fillId="0" borderId="0" xfId="36" applyNumberFormat="1" applyFont="1" applyFill="1" applyBorder="1"/>
    <xf numFmtId="167" fontId="23" fillId="0" borderId="0" xfId="9" applyNumberFormat="1" applyFont="1" applyFill="1" applyAlignment="1">
      <alignment horizontal="right"/>
    </xf>
    <xf numFmtId="179" fontId="80" fillId="0" borderId="0" xfId="41" applyNumberFormat="1" applyFont="1" applyFill="1" applyAlignment="1"/>
    <xf numFmtId="2" fontId="80" fillId="0" borderId="0" xfId="10" applyNumberFormat="1" applyFont="1" applyFill="1" applyAlignment="1"/>
    <xf numFmtId="3" fontId="80" fillId="0" borderId="0" xfId="10" applyNumberFormat="1" applyFont="1" applyFill="1" applyAlignment="1"/>
    <xf numFmtId="170" fontId="80" fillId="0" borderId="0" xfId="10" applyNumberFormat="1" applyFont="1" applyFill="1" applyAlignment="1"/>
    <xf numFmtId="4" fontId="80" fillId="0" borderId="0" xfId="10" applyNumberFormat="1" applyFont="1" applyFill="1" applyAlignment="1"/>
    <xf numFmtId="0" fontId="80" fillId="0" borderId="0" xfId="10" applyFont="1" applyFill="1" applyAlignment="1"/>
    <xf numFmtId="0" fontId="2" fillId="5" borderId="0" xfId="33" applyFont="1" applyFill="1" applyBorder="1"/>
    <xf numFmtId="2" fontId="135" fillId="0" borderId="0" xfId="0" applyNumberFormat="1" applyFont="1" applyAlignment="1"/>
    <xf numFmtId="2" fontId="135" fillId="0" borderId="0" xfId="0" applyNumberFormat="1" applyFont="1" applyFill="1" applyAlignment="1"/>
    <xf numFmtId="2" fontId="57" fillId="0" borderId="0" xfId="0" applyNumberFormat="1" applyFont="1" applyAlignment="1"/>
    <xf numFmtId="2" fontId="57" fillId="0" borderId="0" xfId="0" applyNumberFormat="1" applyFont="1" applyFill="1" applyAlignment="1"/>
    <xf numFmtId="169" fontId="83" fillId="0" borderId="0" xfId="0" applyNumberFormat="1" applyFont="1" applyAlignment="1">
      <alignment horizontal="right"/>
    </xf>
    <xf numFmtId="169" fontId="80" fillId="0" borderId="0" xfId="0" applyNumberFormat="1" applyFont="1" applyAlignment="1">
      <alignment horizontal="right"/>
    </xf>
    <xf numFmtId="169" fontId="80" fillId="0" borderId="0" xfId="0" applyNumberFormat="1" applyFont="1" applyBorder="1" applyAlignment="1">
      <alignment horizontal="right"/>
    </xf>
    <xf numFmtId="169" fontId="80" fillId="0" borderId="0" xfId="36" applyNumberFormat="1" applyFont="1" applyAlignment="1">
      <alignment horizontal="right"/>
    </xf>
    <xf numFmtId="10" fontId="83" fillId="0" borderId="0" xfId="0" applyNumberFormat="1" applyFont="1" applyBorder="1" applyAlignment="1">
      <alignment horizontal="center"/>
    </xf>
    <xf numFmtId="0" fontId="78" fillId="0" borderId="0" xfId="8" applyNumberFormat="1" applyFont="1" applyFill="1" applyAlignment="1">
      <alignment horizontal="left"/>
    </xf>
    <xf numFmtId="37" fontId="2" fillId="0" borderId="0" xfId="16" quotePrefix="1" applyNumberFormat="1" applyFont="1" applyFill="1" applyProtection="1"/>
    <xf numFmtId="0" fontId="155" fillId="0" borderId="0" xfId="8" applyNumberFormat="1" applyFont="1" applyFill="1" applyAlignment="1"/>
    <xf numFmtId="0" fontId="155" fillId="0" borderId="0" xfId="8" applyNumberFormat="1" applyFont="1" applyAlignment="1">
      <alignment horizontal="center"/>
    </xf>
    <xf numFmtId="0" fontId="58" fillId="0" borderId="0" xfId="8" applyNumberFormat="1" applyFont="1" applyFill="1" applyAlignment="1"/>
    <xf numFmtId="2" fontId="58" fillId="0" borderId="0" xfId="8" applyNumberFormat="1" applyFont="1" applyAlignment="1"/>
    <xf numFmtId="3" fontId="58" fillId="0" borderId="0" xfId="8" applyNumberFormat="1" applyFont="1" applyAlignment="1"/>
    <xf numFmtId="10" fontId="58" fillId="0" borderId="0" xfId="36" applyNumberFormat="1" applyFont="1" applyAlignment="1"/>
    <xf numFmtId="0" fontId="156" fillId="0" borderId="0" xfId="8" applyNumberFormat="1" applyFont="1" applyAlignment="1"/>
    <xf numFmtId="0" fontId="57" fillId="0" borderId="0" xfId="0" applyNumberFormat="1" applyFont="1" applyAlignment="1">
      <alignment horizontal="center"/>
    </xf>
    <xf numFmtId="4" fontId="57" fillId="0" borderId="0" xfId="0" applyNumberFormat="1" applyFont="1" applyAlignment="1"/>
    <xf numFmtId="169" fontId="57" fillId="0" borderId="0" xfId="36" applyNumberFormat="1" applyFont="1" applyFill="1" applyBorder="1" applyAlignment="1">
      <alignment vertical="center"/>
    </xf>
    <xf numFmtId="0" fontId="57" fillId="0" borderId="0" xfId="35" applyFont="1" applyFill="1"/>
    <xf numFmtId="3" fontId="57" fillId="0" borderId="0" xfId="35" applyNumberFormat="1" applyFont="1" applyFill="1"/>
    <xf numFmtId="10" fontId="93" fillId="0" borderId="0" xfId="38" applyNumberFormat="1" applyFont="1" applyFill="1"/>
    <xf numFmtId="3" fontId="93" fillId="0" borderId="0" xfId="22" applyNumberFormat="1" applyFont="1" applyFill="1"/>
    <xf numFmtId="10" fontId="93" fillId="0" borderId="0" xfId="22" applyNumberFormat="1" applyFont="1" applyFill="1"/>
    <xf numFmtId="0" fontId="57" fillId="0" borderId="0" xfId="20" applyFont="1" applyBorder="1" applyAlignment="1">
      <alignment horizontal="right"/>
    </xf>
    <xf numFmtId="173" fontId="57" fillId="0" borderId="0" xfId="19" applyNumberFormat="1" applyFont="1" applyBorder="1"/>
    <xf numFmtId="169" fontId="157" fillId="0" borderId="0" xfId="36" applyNumberFormat="1" applyFont="1"/>
    <xf numFmtId="37" fontId="24" fillId="0" borderId="0" xfId="14" applyNumberFormat="1" applyFont="1" applyFill="1" applyBorder="1" applyAlignment="1" applyProtection="1">
      <alignment horizontal="right"/>
    </xf>
    <xf numFmtId="167" fontId="12" fillId="0" borderId="0" xfId="14" applyNumberFormat="1" applyFont="1" applyFill="1" applyAlignment="1" applyProtection="1">
      <alignment horizontal="right"/>
    </xf>
    <xf numFmtId="3" fontId="12" fillId="0" borderId="0" xfId="14" applyNumberFormat="1" applyFont="1" applyFill="1" applyAlignment="1" applyProtection="1">
      <alignment horizontal="right"/>
    </xf>
    <xf numFmtId="37" fontId="12" fillId="0" borderId="0" xfId="14" applyNumberFormat="1" applyFont="1" applyFill="1" applyProtection="1"/>
    <xf numFmtId="167" fontId="12" fillId="0" borderId="8" xfId="14" applyNumberFormat="1" applyFont="1" applyFill="1" applyBorder="1" applyProtection="1"/>
    <xf numFmtId="5" fontId="12" fillId="0" borderId="0" xfId="14" applyNumberFormat="1" applyFont="1" applyFill="1" applyBorder="1" applyProtection="1"/>
    <xf numFmtId="3" fontId="12" fillId="0" borderId="0" xfId="14" applyNumberFormat="1" applyFont="1" applyFill="1" applyProtection="1"/>
    <xf numFmtId="167" fontId="24" fillId="0" borderId="8" xfId="14" applyNumberFormat="1" applyFont="1" applyFill="1" applyBorder="1" applyProtection="1"/>
    <xf numFmtId="0" fontId="58" fillId="0" borderId="0" xfId="16" applyFont="1" applyAlignment="1" applyProtection="1">
      <alignment horizontal="center"/>
    </xf>
    <xf numFmtId="169" fontId="158" fillId="0" borderId="0" xfId="36" applyNumberFormat="1" applyFont="1" applyProtection="1"/>
    <xf numFmtId="0" fontId="58" fillId="0" borderId="0" xfId="16" applyFont="1"/>
    <xf numFmtId="0" fontId="58" fillId="0" borderId="0" xfId="16" applyFont="1" applyFill="1"/>
    <xf numFmtId="10" fontId="58" fillId="0" borderId="0" xfId="36" applyNumberFormat="1" applyFont="1"/>
    <xf numFmtId="169" fontId="57" fillId="0" borderId="0" xfId="36" applyNumberFormat="1" applyFont="1" applyFill="1"/>
    <xf numFmtId="0" fontId="2" fillId="0" borderId="0" xfId="40" applyFont="1" applyFill="1" applyBorder="1" applyAlignment="1">
      <alignment vertical="center" wrapText="1"/>
    </xf>
    <xf numFmtId="0" fontId="0" fillId="0" borderId="50" xfId="0" applyBorder="1" applyAlignment="1">
      <alignment vertical="center" wrapText="1"/>
    </xf>
    <xf numFmtId="0" fontId="2" fillId="0" borderId="0" xfId="9" applyFont="1" applyAlignment="1">
      <alignment vertical="center"/>
    </xf>
    <xf numFmtId="3" fontId="0" fillId="0" borderId="0" xfId="0" applyNumberFormat="1"/>
    <xf numFmtId="3" fontId="159" fillId="0" borderId="0" xfId="10" applyNumberFormat="1" applyFont="1" applyFill="1"/>
    <xf numFmtId="0" fontId="160" fillId="0" borderId="0" xfId="10" applyNumberFormat="1" applyFont="1" applyFill="1" applyAlignment="1">
      <alignment horizontal="center"/>
    </xf>
    <xf numFmtId="167" fontId="160" fillId="0" borderId="0" xfId="10" applyNumberFormat="1" applyFont="1" applyFill="1"/>
    <xf numFmtId="167" fontId="160" fillId="0" borderId="0" xfId="6" applyNumberFormat="1" applyFont="1" applyFill="1"/>
    <xf numFmtId="0" fontId="159" fillId="0" borderId="0" xfId="10" applyNumberFormat="1" applyFont="1" applyFill="1" applyAlignment="1">
      <alignment horizontal="center"/>
    </xf>
    <xf numFmtId="167" fontId="159" fillId="0" borderId="0" xfId="10" applyNumberFormat="1" applyFont="1" applyFill="1"/>
    <xf numFmtId="0" fontId="26" fillId="0" borderId="0" xfId="0" applyFont="1" applyBorder="1" applyAlignment="1">
      <alignment horizontal="center"/>
    </xf>
    <xf numFmtId="0" fontId="42" fillId="0" borderId="0" xfId="0" applyFont="1" applyBorder="1" applyAlignment="1">
      <alignment horizontal="center"/>
    </xf>
    <xf numFmtId="0" fontId="2" fillId="0" borderId="0" xfId="0" applyNumberFormat="1" applyFont="1" applyAlignment="1">
      <alignment wrapText="1"/>
    </xf>
    <xf numFmtId="0" fontId="2" fillId="0" borderId="0" xfId="0" applyFont="1" applyAlignment="1">
      <alignment wrapText="1"/>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0" fontId="2" fillId="0" borderId="0" xfId="8" applyNumberFormat="1" applyFont="1" applyFill="1" applyAlignment="1">
      <alignment wrapText="1"/>
    </xf>
    <xf numFmtId="0" fontId="0" fillId="0" borderId="0" xfId="0" applyAlignment="1">
      <alignment wrapText="1"/>
    </xf>
    <xf numFmtId="3" fontId="6" fillId="0" borderId="0" xfId="35" applyNumberFormat="1" applyFont="1" applyFill="1" applyAlignment="1"/>
    <xf numFmtId="0" fontId="17" fillId="0" borderId="20" xfId="11" applyNumberFormat="1" applyFont="1" applyFill="1" applyBorder="1" applyAlignment="1">
      <alignment horizontal="center"/>
    </xf>
    <xf numFmtId="3" fontId="17" fillId="0" borderId="30" xfId="11" applyNumberFormat="1" applyFont="1" applyFill="1" applyBorder="1" applyAlignment="1">
      <alignment horizontal="center"/>
    </xf>
    <xf numFmtId="3" fontId="17" fillId="0" borderId="20" xfId="11" applyNumberFormat="1" applyFont="1" applyFill="1" applyBorder="1" applyAlignment="1">
      <alignment horizontal="center"/>
    </xf>
    <xf numFmtId="0" fontId="44" fillId="0" borderId="0" xfId="25" applyAlignment="1"/>
    <xf numFmtId="0" fontId="44"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3" fillId="0" borderId="0" xfId="24" applyBorder="1" applyAlignment="1"/>
    <xf numFmtId="0" fontId="44" fillId="0" borderId="13" xfId="25" applyBorder="1" applyAlignment="1"/>
    <xf numFmtId="0" fontId="24" fillId="0" borderId="30" xfId="20" applyFont="1" applyBorder="1" applyAlignment="1">
      <alignment horizontal="center"/>
    </xf>
    <xf numFmtId="0" fontId="24" fillId="0" borderId="20" xfId="20" applyFont="1" applyBorder="1" applyAlignment="1">
      <alignment horizontal="center"/>
    </xf>
    <xf numFmtId="0" fontId="2" fillId="0" borderId="0" xfId="20" applyFont="1" applyAlignment="1">
      <alignment horizontal="left" wrapText="1"/>
    </xf>
    <xf numFmtId="0" fontId="12" fillId="0" borderId="0" xfId="20" applyFont="1" applyAlignment="1">
      <alignment horizontal="left" wrapText="1"/>
    </xf>
    <xf numFmtId="0" fontId="12" fillId="0" borderId="0" xfId="20" applyFont="1" applyBorder="1" applyAlignment="1">
      <alignment horizontal="left" wrapText="1"/>
    </xf>
    <xf numFmtId="0" fontId="44" fillId="0" borderId="0" xfId="25" applyFont="1" applyAlignment="1"/>
    <xf numFmtId="0" fontId="80" fillId="0" borderId="0" xfId="25" applyFont="1" applyAlignment="1">
      <alignment wrapText="1"/>
    </xf>
    <xf numFmtId="0" fontId="2"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80" fillId="0" borderId="0" xfId="21" applyFont="1" applyAlignment="1">
      <alignment horizontal="left" wrapText="1"/>
    </xf>
    <xf numFmtId="0" fontId="2" fillId="0" borderId="0" xfId="21" applyFont="1" applyAlignment="1">
      <alignment wrapText="1"/>
    </xf>
    <xf numFmtId="0" fontId="12" fillId="0" borderId="0" xfId="21" applyFont="1" applyAlignment="1">
      <alignment wrapText="1"/>
    </xf>
    <xf numFmtId="0" fontId="122" fillId="0" borderId="0" xfId="21" applyFont="1" applyFill="1" applyAlignment="1">
      <alignment horizontal="left" wrapText="1"/>
    </xf>
    <xf numFmtId="0" fontId="0" fillId="0" borderId="17" xfId="0" applyBorder="1" applyAlignment="1">
      <alignment horizontal="center" wrapText="1"/>
    </xf>
    <xf numFmtId="0" fontId="2" fillId="0" borderId="0" xfId="26" applyFont="1" applyAlignment="1">
      <alignment wrapText="1"/>
    </xf>
    <xf numFmtId="37" fontId="17"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14" applyFont="1" applyAlignment="1" applyProtection="1">
      <alignment horizontal="left" wrapText="1"/>
    </xf>
    <xf numFmtId="37" fontId="17" fillId="0" borderId="50" xfId="14" applyNumberFormat="1" applyFont="1" applyBorder="1" applyAlignment="1" applyProtection="1">
      <alignment horizontal="center"/>
    </xf>
    <xf numFmtId="0" fontId="12" fillId="0" borderId="50" xfId="13" applyFont="1" applyBorder="1" applyAlignment="1">
      <alignment horizontal="center"/>
    </xf>
    <xf numFmtId="0" fontId="2" fillId="0" borderId="0" xfId="40" applyFont="1" applyAlignment="1">
      <alignment horizontal="left"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25" fillId="0" borderId="17" xfId="16" applyFont="1" applyBorder="1" applyAlignment="1">
      <alignment horizontal="center"/>
    </xf>
    <xf numFmtId="0" fontId="84" fillId="0" borderId="0" xfId="16" applyFont="1" applyAlignment="1">
      <alignment horizontal="left" wrapText="1"/>
    </xf>
    <xf numFmtId="0" fontId="84" fillId="0" borderId="0" xfId="16" applyFont="1" applyAlignment="1">
      <alignment wrapText="1"/>
    </xf>
    <xf numFmtId="0" fontId="80" fillId="0" borderId="0" xfId="0" applyFont="1" applyAlignment="1">
      <alignment wrapText="1"/>
    </xf>
    <xf numFmtId="0" fontId="25" fillId="0" borderId="17" xfId="16" applyFont="1" applyBorder="1" applyAlignment="1">
      <alignment horizontal="center" wrapText="1"/>
    </xf>
    <xf numFmtId="0" fontId="20" fillId="0" borderId="0" xfId="28" applyFont="1" applyFill="1" applyAlignment="1">
      <alignment horizontal="left"/>
    </xf>
    <xf numFmtId="0" fontId="20" fillId="0" borderId="0" xfId="28" applyFont="1" applyFill="1" applyAlignment="1">
      <alignment horizontal="left" wrapText="1"/>
    </xf>
    <xf numFmtId="0" fontId="19" fillId="0" borderId="0" xfId="28" applyFill="1" applyAlignment="1">
      <alignment horizontal="left" wrapText="1"/>
    </xf>
    <xf numFmtId="0" fontId="20" fillId="0" borderId="0" xfId="0" applyFont="1" applyFill="1" applyAlignment="1">
      <alignment horizontal="left" wrapText="1"/>
    </xf>
    <xf numFmtId="0" fontId="0" fillId="0" borderId="0" xfId="0" applyFill="1" applyAlignment="1">
      <alignment wrapText="1"/>
    </xf>
    <xf numFmtId="0" fontId="0" fillId="37" borderId="49" xfId="0" applyFill="1" applyBorder="1" applyAlignment="1"/>
    <xf numFmtId="0" fontId="0" fillId="37" borderId="0" xfId="0" applyFill="1" applyBorder="1" applyAlignment="1"/>
    <xf numFmtId="0" fontId="80" fillId="0" borderId="0" xfId="0" applyNumberFormat="1" applyFont="1" applyAlignment="1">
      <alignment horizontal="left" vertical="center" wrapText="1"/>
    </xf>
    <xf numFmtId="0" fontId="2"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80" fillId="0" borderId="0" xfId="0" applyNumberFormat="1" applyFont="1" applyAlignment="1">
      <alignment horizontal="left" wrapText="1"/>
    </xf>
    <xf numFmtId="0" fontId="12" fillId="0" borderId="0" xfId="0" applyFont="1" applyBorder="1" applyAlignment="1">
      <alignment wrapText="1"/>
    </xf>
    <xf numFmtId="0" fontId="0" fillId="0" borderId="0" xfId="0" applyBorder="1" applyAlignment="1">
      <alignment wrapText="1"/>
    </xf>
    <xf numFmtId="0" fontId="2" fillId="0" borderId="0" xfId="0" applyFont="1" applyBorder="1" applyAlignment="1">
      <alignment wrapText="1"/>
    </xf>
    <xf numFmtId="0" fontId="14" fillId="0" borderId="0" xfId="0" applyNumberFormat="1" applyFont="1" applyAlignment="1">
      <alignment wrapText="1"/>
    </xf>
    <xf numFmtId="0" fontId="14" fillId="0" borderId="0" xfId="0" applyNumberFormat="1" applyFont="1" applyAlignment="1">
      <alignment horizontal="left" vertical="top" wrapText="1"/>
    </xf>
    <xf numFmtId="0" fontId="2" fillId="0" borderId="0" xfId="0" applyFont="1" applyBorder="1" applyAlignment="1">
      <alignment horizontal="left" vertical="top" wrapText="1"/>
    </xf>
    <xf numFmtId="0" fontId="22" fillId="5" borderId="0" xfId="32" applyNumberFormat="1" applyFont="1" applyFill="1" applyAlignment="1">
      <alignment horizontal="left"/>
    </xf>
    <xf numFmtId="0" fontId="2" fillId="5" borderId="0" xfId="33" applyFont="1" applyFill="1" applyBorder="1" applyAlignment="1">
      <alignment horizontal="left" wrapText="1"/>
    </xf>
    <xf numFmtId="0" fontId="12" fillId="5" borderId="0" xfId="33" applyFont="1" applyFill="1" applyBorder="1" applyAlignment="1">
      <alignment horizontal="left" wrapText="1"/>
    </xf>
    <xf numFmtId="0" fontId="0" fillId="5" borderId="0" xfId="0" applyFill="1" applyAlignment="1">
      <alignmen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17" fillId="0" borderId="19" xfId="10" applyFont="1" applyFill="1" applyBorder="1" applyAlignment="1"/>
    <xf numFmtId="0" fontId="23" fillId="0" borderId="0" xfId="10" applyFont="1" applyFill="1" applyAlignment="1">
      <alignment horizontal="left"/>
    </xf>
    <xf numFmtId="0" fontId="17" fillId="0" borderId="0" xfId="10" applyFont="1" applyFill="1" applyBorder="1" applyAlignment="1">
      <alignment horizontal="left"/>
    </xf>
    <xf numFmtId="0" fontId="54" fillId="0" borderId="0" xfId="10" applyFont="1" applyFill="1" applyBorder="1" applyAlignment="1">
      <alignment horizontal="center"/>
    </xf>
    <xf numFmtId="0" fontId="23" fillId="0" borderId="0" xfId="10" applyFont="1" applyFill="1" applyBorder="1" applyAlignment="1">
      <alignment horizontal="left"/>
    </xf>
    <xf numFmtId="3" fontId="25" fillId="0" borderId="0" xfId="10" applyNumberFormat="1" applyFont="1" applyFill="1" applyAlignment="1">
      <alignment horizontal="center"/>
    </xf>
    <xf numFmtId="0" fontId="79" fillId="0" borderId="20" xfId="84" applyFont="1" applyFill="1" applyBorder="1" applyAlignment="1">
      <alignment horizontal="center" vertical="center" wrapText="1"/>
    </xf>
    <xf numFmtId="0" fontId="147" fillId="0" borderId="0" xfId="84" applyFont="1" applyFill="1" applyBorder="1" applyAlignment="1">
      <alignment horizontal="left" vertical="top" wrapText="1"/>
    </xf>
    <xf numFmtId="0" fontId="94" fillId="0" borderId="0" xfId="84" applyFont="1" applyFill="1" applyAlignment="1">
      <alignment wrapText="1"/>
    </xf>
    <xf numFmtId="179" fontId="23" fillId="0" borderId="0" xfId="38" applyNumberFormat="1" applyFont="1" applyFill="1"/>
    <xf numFmtId="10" fontId="159" fillId="0" borderId="0" xfId="10" applyNumberFormat="1" applyFont="1" applyFill="1"/>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CC"/>
      <color rgb="FFFFFF99"/>
      <color rgb="FFAFAFFF"/>
      <color rgb="FF9999FF"/>
      <color rgb="FFFFFFFF"/>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2020
</a:t>
            </a:r>
          </a:p>
        </c:rich>
      </c:tx>
      <c:layout>
        <c:manualLayout>
          <c:xMode val="edge"/>
          <c:yMode val="edge"/>
          <c:x val="0.19904860960451254"/>
          <c:y val="2.836164451775543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021199252137373"/>
          <c:y val="0.36602483138893327"/>
          <c:w val="0.47503817239370238"/>
          <c:h val="0.21891437284026943"/>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647A-452A-B18E-897E0CE9646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647A-452A-B18E-897E0CE96462}"/>
              </c:ext>
            </c:extLst>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34.3%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A-452A-B18E-897E0CE96462}"/>
                </c:ext>
              </c:extLs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1.4%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A-452A-B18E-897E0CE96462}"/>
                </c:ext>
              </c:extLst>
            </c:dLbl>
            <c:dLbl>
              <c:idx val="2"/>
              <c:layout>
                <c:manualLayout>
                  <c:x val="-0.11350124577060763"/>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1.6%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A-452A-B18E-897E0CE96462}"/>
                </c:ext>
              </c:extLs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62.7%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7A-452A-B18E-897E0CE96462}"/>
                </c:ext>
              </c:extLs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20943678000</c:v>
                </c:pt>
                <c:pt idx="1">
                  <c:v>848413000</c:v>
                </c:pt>
                <c:pt idx="2" formatCode="[$$-409]#,##0">
                  <c:v>959893000</c:v>
                </c:pt>
                <c:pt idx="3">
                  <c:v>38271170000</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State and Local Retail Sales &amp; Use Tax Collections</a:t>
            </a:r>
          </a:p>
        </c:rich>
      </c:tx>
      <c:layout>
        <c:manualLayout>
          <c:xMode val="edge"/>
          <c:yMode val="edge"/>
          <c:x val="0.25960121920243839"/>
          <c:y val="5.4124049571123177E-2"/>
        </c:manualLayout>
      </c:layout>
      <c:overlay val="0"/>
      <c:spPr>
        <a:noFill/>
        <a:ln w="25400">
          <a:noFill/>
        </a:ln>
      </c:spPr>
    </c:title>
    <c:autoTitleDeleted val="0"/>
    <c:view3D>
      <c:rotX val="10"/>
      <c:hPercent val="50"/>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903259679676171"/>
          <c:y val="0.16752645837652741"/>
          <c:w val="0.84178408386460002"/>
          <c:h val="0.64175520208862891"/>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 4.1'!$A$10:$A$19</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'Table 4.1'!$O$10:$O$19</c:f>
              <c:numCache>
                <c:formatCode>"$"#,##0.00_);\("$"#,##0.00\)</c:formatCode>
                <c:ptCount val="10"/>
                <c:pt idx="0">
                  <c:v>4.7622609999999996</c:v>
                </c:pt>
                <c:pt idx="1">
                  <c:v>4.7039400000000002</c:v>
                </c:pt>
                <c:pt idx="2">
                  <c:v>4.8911930000000003</c:v>
                </c:pt>
                <c:pt idx="3">
                  <c:v>5.052117</c:v>
                </c:pt>
                <c:pt idx="4">
                  <c:v>5.5846590000000003</c:v>
                </c:pt>
                <c:pt idx="5">
                  <c:v>6.0011830000000002</c:v>
                </c:pt>
                <c:pt idx="6">
                  <c:v>6.1022040000000004</c:v>
                </c:pt>
                <c:pt idx="7">
                  <c:v>6.239509</c:v>
                </c:pt>
                <c:pt idx="8">
                  <c:v>6.4091389999999997</c:v>
                </c:pt>
                <c:pt idx="9">
                  <c:v>6.9215119999999999</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150"/>
        <c:shape val="box"/>
        <c:axId val="80824960"/>
        <c:axId val="80831232"/>
        <c:axId val="0"/>
      </c:bar3DChart>
      <c:catAx>
        <c:axId val="8082496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90187"/>
              <c:y val="0.876292380333901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31232"/>
        <c:crosses val="autoZero"/>
        <c:auto val="1"/>
        <c:lblAlgn val="ctr"/>
        <c:lblOffset val="100"/>
        <c:tickLblSkip val="1"/>
        <c:tickMarkSkip val="1"/>
        <c:noMultiLvlLbl val="0"/>
      </c:catAx>
      <c:valAx>
        <c:axId val="80831232"/>
        <c:scaling>
          <c:orientation val="minMax"/>
          <c:min val="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6.0884056159646822E-2"/>
              <c:y val="0.41924567740888058"/>
            </c:manualLayout>
          </c:layout>
          <c:overlay val="0"/>
          <c:spPr>
            <a:noFill/>
            <a:ln w="25400">
              <a:noFill/>
            </a:ln>
          </c:spPr>
        </c:title>
        <c:numFmt formatCode="\$#,##0.0_);\(\$#,##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24960"/>
        <c:crosses val="autoZero"/>
        <c:crossBetween val="between"/>
        <c:minorUnit val="0.5"/>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overlay val="0"/>
      <c:spPr>
        <a:noFill/>
        <a:ln w="25400">
          <a:noFill/>
        </a:ln>
      </c:spPr>
    </c:title>
    <c:autoTitleDeleted val="0"/>
    <c:view3D>
      <c:rotX val="10"/>
      <c:hPercent val="38"/>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'Tables 5.3-5.4'!$A$37:$A$41</c:f>
              <c:numCache>
                <c:formatCode>General</c:formatCode>
                <c:ptCount val="5"/>
                <c:pt idx="0">
                  <c:v>2016</c:v>
                </c:pt>
                <c:pt idx="1">
                  <c:v>2017</c:v>
                </c:pt>
                <c:pt idx="2">
                  <c:v>2018</c:v>
                </c:pt>
                <c:pt idx="3">
                  <c:v>2019</c:v>
                </c:pt>
                <c:pt idx="4">
                  <c:v>2020</c:v>
                </c:pt>
              </c:numCache>
            </c:numRef>
          </c:cat>
          <c:val>
            <c:numRef>
              <c:f>'Tables 5.3-5.4'!$B$37:$B$41</c:f>
              <c:numCache>
                <c:formatCode>#,##0</c:formatCode>
                <c:ptCount val="5"/>
                <c:pt idx="0" formatCode="&quot;$&quot;#,##0">
                  <c:v>21142000</c:v>
                </c:pt>
                <c:pt idx="1">
                  <c:v>23068000</c:v>
                </c:pt>
                <c:pt idx="2">
                  <c:v>23724800</c:v>
                </c:pt>
                <c:pt idx="3">
                  <c:v>29641360</c:v>
                </c:pt>
                <c:pt idx="4">
                  <c:v>25949060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150"/>
        <c:shape val="box"/>
        <c:axId val="86595840"/>
        <c:axId val="86606208"/>
        <c:axId val="0"/>
      </c:bar3DChart>
      <c:catAx>
        <c:axId val="86595840"/>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50174"/>
              <c:y val="0.83706489564203834"/>
            </c:manualLayout>
          </c:layout>
          <c:overlay val="0"/>
          <c:spPr>
            <a:noFill/>
            <a:ln w="25400">
              <a:noFill/>
            </a:ln>
          </c:spPr>
        </c:title>
        <c:numFmt formatCode="#\ ?/?"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tickLblSkip val="1"/>
        <c:tickMarkSkip val="1"/>
        <c:noMultiLvlLbl val="0"/>
      </c:catAx>
      <c:valAx>
        <c:axId val="86606208"/>
        <c:scaling>
          <c:orientation val="minMax"/>
          <c:max val="28000000"/>
          <c:min val="0"/>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62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majorUnit val="4000000"/>
        <c:minorUnit val="1"/>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aseline="0">
                <a:solidFill>
                  <a:sysClr val="windowText" lastClr="000000"/>
                </a:solidFill>
              </a:rPr>
              <a:t>Nonprofit Organization Tax Exemption</a:t>
            </a:r>
          </a:p>
        </c:rich>
      </c:tx>
      <c:layout>
        <c:manualLayout>
          <c:xMode val="edge"/>
          <c:yMode val="edge"/>
          <c:x val="0.19608516958635988"/>
          <c:y val="2.6143790849673203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solidFill>
          <a:schemeClr val="bg1">
            <a:lumMod val="85000"/>
          </a:schemeClr>
        </a:solidFill>
        <a:ln>
          <a:solidFill>
            <a:schemeClr val="bg1">
              <a:lumMod val="50000"/>
            </a:schemeClr>
          </a:solidFill>
        </a:ln>
        <a:effectLst/>
        <a:sp3d>
          <a:contourClr>
            <a:schemeClr val="bg1">
              <a:lumMod val="50000"/>
            </a:schemeClr>
          </a:contourClr>
        </a:sp3d>
      </c:spPr>
    </c:floor>
    <c:sideWall>
      <c:thickness val="0"/>
      <c:spPr>
        <a:solidFill>
          <a:schemeClr val="bg1">
            <a:lumMod val="75000"/>
            <a:alpha val="57000"/>
          </a:schemeClr>
        </a:solidFill>
        <a:ln>
          <a:solidFill>
            <a:srgbClr val="000000"/>
          </a:solidFill>
        </a:ln>
        <a:effectLst/>
        <a:sp3d>
          <a:contourClr>
            <a:srgbClr val="000000"/>
          </a:contourClr>
        </a:sp3d>
      </c:spPr>
    </c:sideWall>
    <c:backWall>
      <c:thickness val="0"/>
      <c:spPr>
        <a:noFill/>
        <a:ln>
          <a:solidFill>
            <a:schemeClr val="bg1">
              <a:lumMod val="50000"/>
            </a:schemeClr>
          </a:solidFill>
        </a:ln>
        <a:effectLst/>
        <a:sp3d>
          <a:contourClr>
            <a:schemeClr val="bg1">
              <a:lumMod val="50000"/>
            </a:schemeClr>
          </a:contourClr>
        </a:sp3d>
      </c:spPr>
    </c:backWall>
    <c:plotArea>
      <c:layout>
        <c:manualLayout>
          <c:layoutTarget val="inner"/>
          <c:xMode val="edge"/>
          <c:yMode val="edge"/>
          <c:x val="0.1371425664815154"/>
          <c:y val="0.13302832244008714"/>
          <c:w val="0.81634580561150782"/>
          <c:h val="0.71588976377952751"/>
        </c:manualLayout>
      </c:layout>
      <c:bar3DChart>
        <c:barDir val="col"/>
        <c:grouping val="stacked"/>
        <c:varyColors val="0"/>
        <c:ser>
          <c:idx val="0"/>
          <c:order val="0"/>
          <c:tx>
            <c:strRef>
              <c:f>'Table 7.1'!$B$5</c:f>
              <c:strCache>
                <c:ptCount val="1"/>
                <c:pt idx="0">
                  <c:v>Amount ($)</c:v>
                </c:pt>
              </c:strCache>
            </c:strRef>
          </c:tx>
          <c:spPr>
            <a:solidFill>
              <a:srgbClr val="AFAFFF"/>
            </a:solidFill>
            <a:ln>
              <a:solidFill>
                <a:srgbClr val="000000"/>
              </a:solidFill>
            </a:ln>
            <a:effectLst>
              <a:outerShdw blurRad="40000" dist="23000" dir="5400000" rotWithShape="0">
                <a:srgbClr val="000000">
                  <a:alpha val="35000"/>
                </a:srgbClr>
              </a:outerShdw>
            </a:effectLst>
            <a:sp3d>
              <a:contourClr>
                <a:srgbClr val="000000"/>
              </a:contourClr>
            </a:sp3d>
          </c:spPr>
          <c:invertIfNegative val="0"/>
          <c:cat>
            <c:numRef>
              <c:f>'Table 7.1'!$A$6:$A$19</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'Table 7.1'!$B$6:$B$19</c:f>
              <c:numCache>
                <c:formatCode>#,##0</c:formatCode>
                <c:ptCount val="14"/>
                <c:pt idx="0" formatCode="&quot;$&quot;#,##0">
                  <c:v>143332331.22493362</c:v>
                </c:pt>
                <c:pt idx="1">
                  <c:v>213829116.38640201</c:v>
                </c:pt>
                <c:pt idx="2">
                  <c:v>175364334.91890469</c:v>
                </c:pt>
                <c:pt idx="3">
                  <c:v>143554116.64843339</c:v>
                </c:pt>
                <c:pt idx="4">
                  <c:v>150273915</c:v>
                </c:pt>
                <c:pt idx="5">
                  <c:v>156945693.35438961</c:v>
                </c:pt>
                <c:pt idx="6">
                  <c:v>161434467.78945559</c:v>
                </c:pt>
                <c:pt idx="7">
                  <c:v>208366102.08833417</c:v>
                </c:pt>
                <c:pt idx="8">
                  <c:v>210994603.36485529</c:v>
                </c:pt>
                <c:pt idx="9">
                  <c:v>223074819.58170167</c:v>
                </c:pt>
                <c:pt idx="10">
                  <c:v>244370076.32769448</c:v>
                </c:pt>
                <c:pt idx="11">
                  <c:v>314543689.44675058</c:v>
                </c:pt>
                <c:pt idx="12">
                  <c:v>352673576.32049298</c:v>
                </c:pt>
                <c:pt idx="13">
                  <c:v>366646468.66500294</c:v>
                </c:pt>
              </c:numCache>
            </c:numRef>
          </c:val>
          <c:extLst>
            <c:ext xmlns:c16="http://schemas.microsoft.com/office/drawing/2014/chart" uri="{C3380CC4-5D6E-409C-BE32-E72D297353CC}">
              <c16:uniqueId val="{00000000-D681-4B12-9196-CA936C8FF275}"/>
            </c:ext>
          </c:extLst>
        </c:ser>
        <c:dLbls>
          <c:showLegendKey val="0"/>
          <c:showVal val="0"/>
          <c:showCatName val="0"/>
          <c:showSerName val="0"/>
          <c:showPercent val="0"/>
          <c:showBubbleSize val="0"/>
        </c:dLbls>
        <c:gapWidth val="150"/>
        <c:shape val="box"/>
        <c:axId val="389499248"/>
        <c:axId val="389497936"/>
        <c:axId val="0"/>
      </c:bar3DChart>
      <c:catAx>
        <c:axId val="389499248"/>
        <c:scaling>
          <c:orientation val="minMax"/>
        </c:scaling>
        <c:delete val="0"/>
        <c:axPos val="b"/>
        <c:minorGridlines>
          <c:spPr>
            <a:ln>
              <a:noFill/>
            </a:ln>
            <a:effectLst>
              <a:outerShdw blurRad="50800" dist="50800" dir="5400000" algn="ctr" rotWithShape="0">
                <a:schemeClr val="tx1"/>
              </a:outerShdw>
            </a:effectLst>
          </c:spPr>
        </c:min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baseline="0">
                    <a:solidFill>
                      <a:schemeClr val="tx1"/>
                    </a:solidFill>
                  </a:rPr>
                  <a:t>Fiscal Year</a:t>
                </a:r>
              </a:p>
            </c:rich>
          </c:tx>
          <c:layout>
            <c:manualLayout>
              <c:xMode val="edge"/>
              <c:yMode val="edge"/>
              <c:x val="0.49382408594274552"/>
              <c:y val="0.9172089895013121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7936"/>
        <c:crosses val="autoZero"/>
        <c:auto val="0"/>
        <c:lblAlgn val="ctr"/>
        <c:lblOffset val="100"/>
        <c:tickLblSkip val="2"/>
        <c:noMultiLvlLbl val="0"/>
      </c:catAx>
      <c:valAx>
        <c:axId val="389497936"/>
        <c:scaling>
          <c:orientation val="minMax"/>
        </c:scaling>
        <c:delete val="0"/>
        <c:axPos val="l"/>
        <c:majorGridlines>
          <c:spPr>
            <a:ln w="9525" cap="flat" cmpd="sng" algn="ctr">
              <a:solidFill>
                <a:schemeClr val="tx1">
                  <a:lumMod val="50000"/>
                  <a:lumOff val="50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baseline="0">
                    <a:solidFill>
                      <a:schemeClr val="tx1"/>
                    </a:solidFill>
                  </a:rPr>
                  <a:t>Millions </a:t>
                </a:r>
              </a:p>
            </c:rich>
          </c:tx>
          <c:layout>
            <c:manualLayout>
              <c:xMode val="edge"/>
              <c:yMode val="edge"/>
              <c:x val="3.8919408329772733E-2"/>
              <c:y val="0.4101945538057743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quot;$&quot;#,##0" sourceLinked="1"/>
        <c:majorTickMark val="none"/>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9248"/>
        <c:crosses val="autoZero"/>
        <c:crossBetween val="between"/>
        <c:majorUnit val="50000000"/>
        <c:dispUnits>
          <c:builtInUnit val="millions"/>
        </c:dispUnits>
      </c:valAx>
      <c:spPr>
        <a:noFill/>
        <a:ln w="25400">
          <a:no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897"/>
          <c:y val="3.3395171153344054E-2"/>
        </c:manualLayout>
      </c:layout>
      <c:overlay val="0"/>
      <c:spPr>
        <a:noFill/>
        <a:ln w="25400">
          <a:noFill/>
        </a:ln>
      </c:spPr>
    </c:title>
    <c:autoTitleDeleted val="0"/>
    <c:view3D>
      <c:rotX val="10"/>
      <c:hPercent val="6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varyColors val="0"/>
        <c:ser>
          <c:idx val="0"/>
          <c:order val="0"/>
          <c:tx>
            <c:strRef>
              <c:f>'Rev.Exp.'!$I$29</c:f>
              <c:strCache>
                <c:ptCount val="1"/>
                <c:pt idx="0">
                  <c:v>General Fund</c:v>
                </c:pt>
              </c:strCache>
            </c:strRef>
          </c:tx>
          <c:spPr>
            <a:solidFill>
              <a:srgbClr val="9999FF"/>
            </a:solidFill>
            <a:ln w="12700">
              <a:solidFill>
                <a:srgbClr val="000000"/>
              </a:solidFill>
              <a:prstDash val="solid"/>
            </a:ln>
          </c:spPr>
          <c:invertIfNegative val="0"/>
          <c:cat>
            <c:numRef>
              <c:f>'Rev.Exp.'!$H$31:$H$39</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'Rev.Exp.'!$I$31:$I$39</c:f>
              <c:numCache>
                <c:formatCode>0.00</c:formatCode>
                <c:ptCount val="9"/>
                <c:pt idx="0">
                  <c:v>16.181951000000002</c:v>
                </c:pt>
                <c:pt idx="1">
                  <c:v>16.791968000000001</c:v>
                </c:pt>
                <c:pt idx="2">
                  <c:v>16.519642999999999</c:v>
                </c:pt>
                <c:pt idx="3">
                  <c:v>17.856570999999999</c:v>
                </c:pt>
                <c:pt idx="4">
                  <c:v>18.170459999999999</c:v>
                </c:pt>
                <c:pt idx="5">
                  <c:v>18.839827</c:v>
                </c:pt>
                <c:pt idx="6">
                  <c:v>20.02402</c:v>
                </c:pt>
                <c:pt idx="7">
                  <c:v>21.467093999999999</c:v>
                </c:pt>
                <c:pt idx="8">
                  <c:v>21.903570999999999</c:v>
                </c:pt>
              </c:numCache>
            </c:numRef>
          </c:val>
          <c:extLst>
            <c:ext xmlns:c16="http://schemas.microsoft.com/office/drawing/2014/chart" uri="{C3380CC4-5D6E-409C-BE32-E72D297353CC}">
              <c16:uniqueId val="{00000000-E84D-47E1-A68D-F21671D2B5FA}"/>
            </c:ext>
          </c:extLst>
        </c:ser>
        <c:ser>
          <c:idx val="1"/>
          <c:order val="1"/>
          <c:tx>
            <c:strRef>
              <c:f>'Rev.Exp.'!$J$29</c:f>
              <c:strCache>
                <c:ptCount val="1"/>
                <c:pt idx="0">
                  <c:v>Non-General Fund </c:v>
                </c:pt>
              </c:strCache>
            </c:strRef>
          </c:tx>
          <c:spPr>
            <a:solidFill>
              <a:srgbClr val="993366"/>
            </a:solidFill>
            <a:ln w="12700">
              <a:solidFill>
                <a:srgbClr val="000000"/>
              </a:solidFill>
              <a:prstDash val="solid"/>
            </a:ln>
          </c:spPr>
          <c:invertIfNegative val="0"/>
          <c:cat>
            <c:numRef>
              <c:f>'Rev.Exp.'!$H$31:$H$39</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'Rev.Exp.'!$J$31:$J$39</c:f>
              <c:numCache>
                <c:formatCode>0.00</c:formatCode>
                <c:ptCount val="9"/>
                <c:pt idx="0">
                  <c:v>22.802582000000001</c:v>
                </c:pt>
                <c:pt idx="1">
                  <c:v>23.161975000000002</c:v>
                </c:pt>
                <c:pt idx="2">
                  <c:v>24.275392</c:v>
                </c:pt>
                <c:pt idx="3">
                  <c:v>24.805219000000001</c:v>
                </c:pt>
                <c:pt idx="4">
                  <c:v>25.279826</c:v>
                </c:pt>
                <c:pt idx="5">
                  <c:v>26.073523000000002</c:v>
                </c:pt>
                <c:pt idx="6">
                  <c:v>27.608806000000001</c:v>
                </c:pt>
                <c:pt idx="7">
                  <c:v>29.225445000000001</c:v>
                </c:pt>
                <c:pt idx="8">
                  <c:v>39.119582999999999</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150"/>
        <c:shape val="box"/>
        <c:axId val="160050560"/>
        <c:axId val="73057408"/>
        <c:axId val="0"/>
      </c:bar3DChart>
      <c:catAx>
        <c:axId val="160050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tickLblSkip val="1"/>
        <c:tickMarkSkip val="1"/>
        <c:noMultiLvlLbl val="0"/>
      </c:catAx>
      <c:valAx>
        <c:axId val="73057408"/>
        <c:scaling>
          <c:orientation val="minMax"/>
        </c:scaling>
        <c:delete val="0"/>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43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valAx>
      <c:spPr>
        <a:noFill/>
        <a:ln w="25400">
          <a:noFill/>
        </a:ln>
      </c:spPr>
    </c:plotArea>
    <c:legend>
      <c:legendPos val="b"/>
      <c:layout>
        <c:manualLayout>
          <c:xMode val="edge"/>
          <c:yMode val="edge"/>
          <c:x val="0.21195767260158938"/>
          <c:y val="0.90728747257382281"/>
          <c:w val="0.66457950484164752"/>
          <c:h val="7.7870534507793923E-2"/>
        </c:manualLayout>
      </c:layout>
      <c:overlay val="0"/>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2020
</a:t>
            </a:r>
          </a:p>
        </c:rich>
      </c:tx>
      <c:layout>
        <c:manualLayout>
          <c:xMode val="edge"/>
          <c:yMode val="edge"/>
          <c:x val="0.16910569105691056"/>
          <c:y val="3.42052313883300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040660347061588"/>
          <c:y val="0.44466866335023864"/>
          <c:w val="0.50243922384687179"/>
          <c:h val="0.24748527417230956"/>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ADD4-4E20-96B6-371490AA8BF6}"/>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D4-4E20-96B6-371490AA8BF6}"/>
                </c:ext>
              </c:extLst>
            </c:dLbl>
            <c:dLbl>
              <c:idx val="1"/>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D4-4E20-96B6-371490AA8BF6}"/>
                </c:ext>
              </c:extLst>
            </c:dLbl>
            <c:dLbl>
              <c:idx val="3"/>
              <c:layout>
                <c:manualLayout>
                  <c:x val="4.5889358920523704E-2"/>
                  <c:y val="-5.5320948607453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'By Account'!$L$29:$L$32</c:f>
              <c:strCache>
                <c:ptCount val="4"/>
                <c:pt idx="0">
                  <c:v>Sales and Use Tax</c:v>
                </c:pt>
                <c:pt idx="1">
                  <c:v>Individual Income Tax</c:v>
                </c:pt>
                <c:pt idx="2">
                  <c:v>Corporate Income Tax </c:v>
                </c:pt>
                <c:pt idx="3">
                  <c:v>Other</c:v>
                </c:pt>
              </c:strCache>
            </c:strRef>
          </c:cat>
          <c:val>
            <c:numRef>
              <c:f>'By Account'!$N$29:$N$32</c:f>
              <c:numCache>
                <c:formatCode>#,##0</c:formatCode>
                <c:ptCount val="4"/>
                <c:pt idx="0">
                  <c:v>3706817000</c:v>
                </c:pt>
                <c:pt idx="1">
                  <c:v>15351592000</c:v>
                </c:pt>
                <c:pt idx="2">
                  <c:v>1011650000</c:v>
                </c:pt>
                <c:pt idx="3">
                  <c:v>1722032000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Types</a:t>
            </a:r>
          </a:p>
        </c:rich>
      </c:tx>
      <c:layout>
        <c:manualLayout>
          <c:xMode val="edge"/>
          <c:yMode val="edge"/>
          <c:x val="0.13311688311688324"/>
          <c:y val="3.4858387799564412E-2"/>
        </c:manualLayout>
      </c:layout>
      <c:overlay val="0"/>
      <c:spPr>
        <a:noFill/>
        <a:ln w="25400">
          <a:noFill/>
        </a:ln>
      </c:spPr>
    </c:title>
    <c:autoTitleDeleted val="0"/>
    <c:view3D>
      <c:rotX val="10"/>
      <c:hPercent val="59"/>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20129886086114729"/>
          <c:y val="0.19825734424113794"/>
          <c:w val="0.76623437360045465"/>
          <c:h val="0.60784394553054089"/>
        </c:manualLayout>
      </c:layout>
      <c:bar3DChart>
        <c:barDir val="col"/>
        <c:grouping val="clustered"/>
        <c:varyColors val="0"/>
        <c:ser>
          <c:idx val="0"/>
          <c:order val="0"/>
          <c:tx>
            <c:strRef>
              <c:f>'By Account'!$K$3</c:f>
              <c:strCache>
                <c:ptCount val="1"/>
                <c:pt idx="0">
                  <c:v>Individual Income Tax</c:v>
                </c:pt>
              </c:strCache>
            </c:strRef>
          </c:tx>
          <c:spPr>
            <a:solidFill>
              <a:srgbClr val="9999FF"/>
            </a:solidFill>
            <a:ln w="12700">
              <a:solidFill>
                <a:srgbClr val="000000"/>
              </a:solidFill>
              <a:prstDash val="solid"/>
            </a:ln>
          </c:spPr>
          <c:invertIfNegative val="0"/>
          <c:cat>
            <c:numRef>
              <c:f>'By Account'!$M$2:$S$2</c:f>
              <c:numCache>
                <c:formatCode>General</c:formatCode>
                <c:ptCount val="7"/>
                <c:pt idx="0">
                  <c:v>2014</c:v>
                </c:pt>
                <c:pt idx="1">
                  <c:v>2015</c:v>
                </c:pt>
                <c:pt idx="2">
                  <c:v>2016</c:v>
                </c:pt>
                <c:pt idx="3">
                  <c:v>2017</c:v>
                </c:pt>
                <c:pt idx="4">
                  <c:v>2018</c:v>
                </c:pt>
                <c:pt idx="5">
                  <c:v>2019</c:v>
                </c:pt>
                <c:pt idx="6">
                  <c:v>2020</c:v>
                </c:pt>
              </c:numCache>
            </c:numRef>
          </c:cat>
          <c:val>
            <c:numRef>
              <c:f>'By Account'!$M$3:$S$3</c:f>
              <c:numCache>
                <c:formatCode>0.00</c:formatCode>
                <c:ptCount val="7"/>
                <c:pt idx="0">
                  <c:v>11.253348000000001</c:v>
                </c:pt>
                <c:pt idx="1">
                  <c:v>12.328675</c:v>
                </c:pt>
                <c:pt idx="2">
                  <c:v>12.555624</c:v>
                </c:pt>
                <c:pt idx="3">
                  <c:v>13.052887</c:v>
                </c:pt>
                <c:pt idx="4">
                  <c:v>14.105765999999999</c:v>
                </c:pt>
                <c:pt idx="5">
                  <c:v>15.226471</c:v>
                </c:pt>
                <c:pt idx="6">
                  <c:v>15.351592</c:v>
                </c:pt>
              </c:numCache>
            </c:numRef>
          </c:val>
          <c:extLst>
            <c:ext xmlns:c16="http://schemas.microsoft.com/office/drawing/2014/chart" uri="{C3380CC4-5D6E-409C-BE32-E72D297353CC}">
              <c16:uniqueId val="{00000000-203F-4211-864B-C69215DCA9F6}"/>
            </c:ext>
          </c:extLst>
        </c:ser>
        <c:ser>
          <c:idx val="1"/>
          <c:order val="1"/>
          <c:tx>
            <c:strRef>
              <c:f>'By Account'!$K$4</c:f>
              <c:strCache>
                <c:ptCount val="1"/>
                <c:pt idx="0">
                  <c:v>Sales and Use Tax</c:v>
                </c:pt>
              </c:strCache>
            </c:strRef>
          </c:tx>
          <c:spPr>
            <a:solidFill>
              <a:srgbClr val="993366"/>
            </a:solidFill>
            <a:ln w="12700">
              <a:solidFill>
                <a:srgbClr val="000000"/>
              </a:solidFill>
              <a:prstDash val="solid"/>
            </a:ln>
          </c:spPr>
          <c:invertIfNegative val="0"/>
          <c:cat>
            <c:numRef>
              <c:f>'By Account'!$M$2:$S$2</c:f>
              <c:numCache>
                <c:formatCode>General</c:formatCode>
                <c:ptCount val="7"/>
                <c:pt idx="0">
                  <c:v>2014</c:v>
                </c:pt>
                <c:pt idx="1">
                  <c:v>2015</c:v>
                </c:pt>
                <c:pt idx="2">
                  <c:v>2016</c:v>
                </c:pt>
                <c:pt idx="3">
                  <c:v>2017</c:v>
                </c:pt>
                <c:pt idx="4">
                  <c:v>2018</c:v>
                </c:pt>
                <c:pt idx="5">
                  <c:v>2019</c:v>
                </c:pt>
                <c:pt idx="6">
                  <c:v>2020</c:v>
                </c:pt>
              </c:numCache>
            </c:numRef>
          </c:cat>
          <c:val>
            <c:numRef>
              <c:f>'By Account'!$M$4:$S$4</c:f>
              <c:numCache>
                <c:formatCode>0.00</c:formatCode>
                <c:ptCount val="7"/>
                <c:pt idx="0">
                  <c:v>3.0664560000000001</c:v>
                </c:pt>
                <c:pt idx="1">
                  <c:v>3.2354440000000002</c:v>
                </c:pt>
                <c:pt idx="2">
                  <c:v>3.2958530000000001</c:v>
                </c:pt>
                <c:pt idx="3">
                  <c:v>3.3545609999999999</c:v>
                </c:pt>
                <c:pt idx="4">
                  <c:v>3.4582489999999999</c:v>
                </c:pt>
                <c:pt idx="5">
                  <c:v>3.580355</c:v>
                </c:pt>
                <c:pt idx="6">
                  <c:v>3.706817</c:v>
                </c:pt>
              </c:numCache>
            </c:numRef>
          </c:val>
          <c:extLst>
            <c:ext xmlns:c16="http://schemas.microsoft.com/office/drawing/2014/chart" uri="{C3380CC4-5D6E-409C-BE32-E72D297353CC}">
              <c16:uniqueId val="{00000001-203F-4211-864B-C69215DCA9F6}"/>
            </c:ext>
          </c:extLst>
        </c:ser>
        <c:dLbls>
          <c:showLegendKey val="0"/>
          <c:showVal val="0"/>
          <c:showCatName val="0"/>
          <c:showSerName val="0"/>
          <c:showPercent val="0"/>
          <c:showBubbleSize val="0"/>
        </c:dLbls>
        <c:gapWidth val="150"/>
        <c:shape val="box"/>
        <c:axId val="74217344"/>
        <c:axId val="74218880"/>
        <c:axId val="0"/>
      </c:bar3DChart>
      <c:catAx>
        <c:axId val="74217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tickLblSkip val="1"/>
        <c:tickMarkSkip val="1"/>
        <c:noMultiLvlLbl val="0"/>
      </c:catAx>
      <c:valAx>
        <c:axId val="74218880"/>
        <c:scaling>
          <c:orientation val="minMax"/>
          <c:max val="16"/>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majorUnit val="2"/>
        <c:minorUnit val="2"/>
      </c:valAx>
      <c:spPr>
        <a:noFill/>
        <a:ln w="25400">
          <a:noFill/>
        </a:ln>
      </c:spPr>
    </c:plotArea>
    <c:legend>
      <c:legendPos val="b"/>
      <c:overlay val="0"/>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3045"/>
          <c:y val="3.1609215514730817E-2"/>
        </c:manualLayout>
      </c:layout>
      <c:overlay val="0"/>
      <c:spPr>
        <a:noFill/>
        <a:ln w="25400">
          <a:noFill/>
        </a:ln>
      </c:spPr>
    </c:title>
    <c:autoTitleDeleted val="0"/>
    <c:view3D>
      <c:rotX val="10"/>
      <c:hPercent val="45"/>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varyColors val="0"/>
        <c:ser>
          <c:idx val="0"/>
          <c:order val="0"/>
          <c:spPr>
            <a:solidFill>
              <a:srgbClr val="993366"/>
            </a:solidFill>
            <a:ln w="12700">
              <a:solidFill>
                <a:srgbClr val="000000"/>
              </a:solidFill>
              <a:prstDash val="solid"/>
            </a:ln>
          </c:spPr>
          <c:invertIfNegative val="0"/>
          <c:cat>
            <c:numRef>
              <c:f>'Table 1.1'!$AA$11:$AA$23</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'Table 1.1'!$AB$11:$AB$23</c:f>
              <c:numCache>
                <c:formatCode>#,##0.00</c:formatCode>
                <c:ptCount val="13"/>
                <c:pt idx="0">
                  <c:v>9.1300000000000008</c:v>
                </c:pt>
                <c:pt idx="1">
                  <c:v>9.6</c:v>
                </c:pt>
                <c:pt idx="2">
                  <c:v>9.1999999999999993</c:v>
                </c:pt>
                <c:pt idx="3">
                  <c:v>8.84</c:v>
                </c:pt>
                <c:pt idx="4">
                  <c:v>9.5399999999999991</c:v>
                </c:pt>
                <c:pt idx="5">
                  <c:v>9.85</c:v>
                </c:pt>
                <c:pt idx="6">
                  <c:v>10.53</c:v>
                </c:pt>
                <c:pt idx="7">
                  <c:v>10.59</c:v>
                </c:pt>
                <c:pt idx="8">
                  <c:v>11.62</c:v>
                </c:pt>
                <c:pt idx="9">
                  <c:v>12.071058964000001</c:v>
                </c:pt>
                <c:pt idx="10">
                  <c:v>11.800977144559999</c:v>
                </c:pt>
                <c:pt idx="11">
                  <c:v>12.34241824127</c:v>
                </c:pt>
                <c:pt idx="12">
                  <c:v>14.112424787530001</c:v>
                </c:pt>
              </c:numCache>
            </c:numRef>
          </c:val>
          <c:extLst>
            <c:ext xmlns:c16="http://schemas.microsoft.com/office/drawing/2014/chart" uri="{C3380CC4-5D6E-409C-BE32-E72D297353CC}">
              <c16:uniqueId val="{00000000-5B0A-4B50-99F0-A729BF1F274C}"/>
            </c:ext>
          </c:extLst>
        </c:ser>
        <c:dLbls>
          <c:showLegendKey val="0"/>
          <c:showVal val="0"/>
          <c:showCatName val="0"/>
          <c:showSerName val="0"/>
          <c:showPercent val="0"/>
          <c:showBubbleSize val="0"/>
        </c:dLbls>
        <c:gapWidth val="150"/>
        <c:shape val="box"/>
        <c:axId val="75302016"/>
        <c:axId val="75303936"/>
        <c:axId val="0"/>
      </c:bar3D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9384895981455618"/>
              <c:y val="0.8050522000575300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tickLblSkip val="2"/>
        <c:tickMarkSkip val="1"/>
        <c:noMultiLvlLbl val="0"/>
      </c:catAx>
      <c:valAx>
        <c:axId val="75303936"/>
        <c:scaling>
          <c:orientation val="minMax"/>
          <c:max val="16"/>
          <c:min val="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majorUnit val="2"/>
        <c:minorUnit val="1"/>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158456719233778"/>
          <c:y val="0.33453281478267866"/>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0"/>
            <c:bubble3D val="0"/>
            <c:explosion val="12"/>
            <c:extLst>
              <c:ext xmlns:c16="http://schemas.microsoft.com/office/drawing/2014/chart" uri="{C3380CC4-5D6E-409C-BE32-E72D297353CC}">
                <c16:uniqueId val="{00000000-7543-4E3F-8300-1AAB9C19023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543-4E3F-8300-1AAB9C19023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543-4E3F-8300-1AAB9C190235}"/>
              </c:ext>
            </c:extLst>
          </c:dPt>
          <c:dLbls>
            <c:dLbl>
              <c:idx val="1"/>
              <c:tx>
                <c:rich>
                  <a:bodyPr/>
                  <a:lstStyle/>
                  <a:p>
                    <a:pPr>
                      <a:defRPr sz="1100" b="0" i="0" u="none" strike="noStrike" baseline="0">
                        <a:solidFill>
                          <a:srgbClr val="000000"/>
                        </a:solidFill>
                        <a:latin typeface="Arial"/>
                        <a:ea typeface="Arial"/>
                        <a:cs typeface="Arial"/>
                      </a:defRPr>
                    </a:pPr>
                    <a:r>
                      <a:rPr lang="en-US"/>
                      <a:t>Married Filing Separately</a:t>
                    </a:r>
                    <a:r>
                      <a:rPr lang="en-US" baseline="0"/>
                      <a:t> </a:t>
                    </a:r>
                    <a:r>
                      <a:rPr lang="en-US"/>
                      <a:t>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43-4E3F-8300-1AAB9C190235}"/>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1.3'!$AB$19:$AB$21</c:f>
              <c:strCache>
                <c:ptCount val="3"/>
                <c:pt idx="0">
                  <c:v>Single</c:v>
                </c:pt>
                <c:pt idx="1">
                  <c:v>Married Filing Separate</c:v>
                </c:pt>
                <c:pt idx="2">
                  <c:v>Married Filing Joint</c:v>
                </c:pt>
              </c:strCache>
            </c:strRef>
          </c:cat>
          <c:val>
            <c:numRef>
              <c:f>'Table 1.3'!$AC$19:$AC$21</c:f>
              <c:numCache>
                <c:formatCode>#,##0</c:formatCode>
                <c:ptCount val="3"/>
                <c:pt idx="0">
                  <c:v>2322296</c:v>
                </c:pt>
                <c:pt idx="1">
                  <c:v>161101</c:v>
                </c:pt>
                <c:pt idx="2">
                  <c:v>1506426</c:v>
                </c:pt>
              </c:numCache>
            </c:numRef>
          </c:val>
          <c:extLst>
            <c:ext xmlns:c16="http://schemas.microsoft.com/office/drawing/2014/chart" uri="{C3380CC4-5D6E-409C-BE32-E72D297353CC}">
              <c16:uniqueId val="{00000003-7543-4E3F-8300-1AAB9C19023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9471065853798"/>
          <c:y val="0.28668977811924612"/>
          <c:w val="0.55647908235460064"/>
          <c:h val="0.45392548202210381"/>
        </c:manualLayout>
      </c:layout>
      <c:pie3DChart>
        <c:varyColors val="1"/>
        <c:ser>
          <c:idx val="0"/>
          <c:order val="0"/>
          <c:spPr>
            <a:solidFill>
              <a:srgbClr val="9999FF"/>
            </a:solidFill>
            <a:ln w="12700">
              <a:solidFill>
                <a:srgbClr val="000000"/>
              </a:solidFill>
              <a:prstDash val="solid"/>
            </a:ln>
          </c:spPr>
          <c:explosion val="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59D5-47EF-8745-FC6DC8CE991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59D5-47EF-8745-FC6DC8CE991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59D5-47EF-8745-FC6DC8CE9916}"/>
              </c:ext>
            </c:extLst>
          </c:dPt>
          <c:dLbls>
            <c:dLbl>
              <c:idx val="0"/>
              <c:layout>
                <c:manualLayout>
                  <c:x val="-6.8802384382657789E-2"/>
                  <c:y val="-9.1021155929984027E-2"/>
                </c:manualLayout>
              </c:layout>
              <c:tx>
                <c:rich>
                  <a:bodyPr/>
                  <a:lstStyle/>
                  <a:p>
                    <a:r>
                      <a:rPr lang="en-US"/>
                      <a:t>Age
11.3%</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D5-47EF-8745-FC6DC8CE9916}"/>
                </c:ext>
              </c:extLst>
            </c:dLbl>
            <c:dLbl>
              <c:idx val="1"/>
              <c:tx>
                <c:rich>
                  <a:bodyPr/>
                  <a:lstStyle/>
                  <a:p>
                    <a:pPr>
                      <a:defRPr sz="1050" b="0" i="0" u="none" strike="noStrike" baseline="0">
                        <a:solidFill>
                          <a:srgbClr val="000000"/>
                        </a:solidFill>
                        <a:latin typeface="Arial"/>
                        <a:ea typeface="Arial"/>
                        <a:cs typeface="Arial"/>
                      </a:defRPr>
                    </a:pPr>
                    <a:r>
                      <a:rPr lang="en-US"/>
                      <a:t>Blindness
0.1%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5-47EF-8745-FC6DC8CE9916}"/>
                </c:ext>
              </c:extLst>
            </c:dLbl>
            <c:dLbl>
              <c:idx val="2"/>
              <c:tx>
                <c:rich>
                  <a:bodyPr/>
                  <a:lstStyle/>
                  <a:p>
                    <a:r>
                      <a:rPr lang="en-US"/>
                      <a:t>Personal
62.6%</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D5-47EF-8745-FC6DC8CE9916}"/>
                </c:ext>
              </c:extLst>
            </c:dLbl>
            <c:dLbl>
              <c:idx val="3"/>
              <c:tx>
                <c:rich>
                  <a:bodyPr/>
                  <a:lstStyle/>
                  <a:p>
                    <a:r>
                      <a:rPr lang="en-US"/>
                      <a:t>Dependent
26.0%</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D5-47EF-8745-FC6DC8CE9916}"/>
                </c:ext>
              </c:extLs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1.4'!$E$39:$E$42</c:f>
              <c:strCache>
                <c:ptCount val="4"/>
                <c:pt idx="0">
                  <c:v>Age</c:v>
                </c:pt>
                <c:pt idx="1">
                  <c:v>Blindness</c:v>
                </c:pt>
                <c:pt idx="2">
                  <c:v>Personal</c:v>
                </c:pt>
                <c:pt idx="3">
                  <c:v>Dependent</c:v>
                </c:pt>
              </c:strCache>
            </c:strRef>
          </c:cat>
          <c:val>
            <c:numRef>
              <c:f>'Table 1.4'!$F$39:$F$42</c:f>
              <c:numCache>
                <c:formatCode>#,##0</c:formatCode>
                <c:ptCount val="4"/>
                <c:pt idx="0">
                  <c:v>989820</c:v>
                </c:pt>
                <c:pt idx="1">
                  <c:v>8846</c:v>
                </c:pt>
                <c:pt idx="2">
                  <c:v>5507452</c:v>
                </c:pt>
                <c:pt idx="3">
                  <c:v>2288784</c:v>
                </c:pt>
              </c:numCache>
            </c:numRef>
          </c:val>
          <c:extLst>
            <c:ext xmlns:c16="http://schemas.microsoft.com/office/drawing/2014/chart" uri="{C3380CC4-5D6E-409C-BE32-E72D297353CC}">
              <c16:uniqueId val="{00000004-59D5-47EF-8745-FC6DC8CE991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7287"/>
          <c:y val="3.8690866766654196E-2"/>
        </c:manualLayout>
      </c:layout>
      <c:overlay val="0"/>
      <c:spPr>
        <a:noFill/>
        <a:ln w="25400">
          <a:noFill/>
        </a:ln>
      </c:spPr>
    </c:title>
    <c:autoTitleDeleted val="0"/>
    <c:view3D>
      <c:rotX val="10"/>
      <c:hPercent val="4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varyColors val="0"/>
        <c:ser>
          <c:idx val="1"/>
          <c:order val="0"/>
          <c:tx>
            <c:strRef>
              <c:f>'Table 1.8-1.9'!$C$30</c:f>
              <c:strCache>
                <c:ptCount val="1"/>
                <c:pt idx="0">
                  <c:v>Total</c:v>
                </c:pt>
              </c:strCache>
            </c:strRef>
          </c:tx>
          <c:spPr>
            <a:solidFill>
              <a:srgbClr val="993366"/>
            </a:solidFill>
            <a:ln w="12700">
              <a:solidFill>
                <a:srgbClr val="000000"/>
              </a:solidFill>
              <a:prstDash val="solid"/>
            </a:ln>
          </c:spPr>
          <c:invertIfNegative val="0"/>
          <c:cat>
            <c:numRef>
              <c:f>'Table 1.8-1.9'!$R$31:$R$40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'Table 1.8-1.9'!$S$31:$S$40</c:f>
              <c:numCache>
                <c:formatCode>"$"#,##0.0</c:formatCode>
                <c:ptCount val="10"/>
                <c:pt idx="0">
                  <c:v>17.87642293</c:v>
                </c:pt>
                <c:pt idx="1">
                  <c:v>18.578293819999999</c:v>
                </c:pt>
                <c:pt idx="2">
                  <c:v>18.10492331</c:v>
                </c:pt>
                <c:pt idx="3">
                  <c:v>17.368776620000002</c:v>
                </c:pt>
                <c:pt idx="4">
                  <c:v>18.211926469999998</c:v>
                </c:pt>
                <c:pt idx="5">
                  <c:v>19.469019920000001</c:v>
                </c:pt>
                <c:pt idx="6">
                  <c:v>19.206043659999999</c:v>
                </c:pt>
                <c:pt idx="7">
                  <c:v>16.359793289999999</c:v>
                </c:pt>
                <c:pt idx="8">
                  <c:v>17.431562339999999</c:v>
                </c:pt>
                <c:pt idx="9">
                  <c:v>16.20401957</c:v>
                </c:pt>
              </c:numCache>
            </c:numRef>
          </c:val>
          <c:extLst>
            <c:ext xmlns:c16="http://schemas.microsoft.com/office/drawing/2014/chart" uri="{C3380CC4-5D6E-409C-BE32-E72D297353CC}">
              <c16:uniqueId val="{00000000-EC43-4900-AF0D-DFB012F25AAC}"/>
            </c:ext>
          </c:extLst>
        </c:ser>
        <c:dLbls>
          <c:showLegendKey val="0"/>
          <c:showVal val="0"/>
          <c:showCatName val="0"/>
          <c:showSerName val="0"/>
          <c:showPercent val="0"/>
          <c:showBubbleSize val="0"/>
        </c:dLbls>
        <c:gapWidth val="150"/>
        <c:shape val="box"/>
        <c:axId val="80388096"/>
        <c:axId val="80390016"/>
        <c:axId val="0"/>
      </c:bar3D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9493"/>
              <c:y val="0.8660757249094036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At val="10"/>
        <c:auto val="1"/>
        <c:lblAlgn val="ctr"/>
        <c:lblOffset val="100"/>
        <c:tickLblSkip val="1"/>
        <c:tickMarkSkip val="1"/>
        <c:noMultiLvlLbl val="0"/>
      </c:catAx>
      <c:valAx>
        <c:axId val="80390016"/>
        <c:scaling>
          <c:orientation val="minMax"/>
          <c:min val="1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74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overlay val="0"/>
      <c:spPr>
        <a:noFill/>
        <a:ln w="25400">
          <a:noFill/>
        </a:ln>
      </c:spPr>
    </c:title>
    <c:autoTitleDeleted val="0"/>
    <c:view3D>
      <c:rotX val="15"/>
      <c:hPercent val="4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3986"/>
          <c:h val="0.63500135650929812"/>
        </c:manualLayout>
      </c:layout>
      <c:bar3DChart>
        <c:barDir val="col"/>
        <c:grouping val="stacked"/>
        <c:varyColors val="0"/>
        <c:ser>
          <c:idx val="0"/>
          <c:order val="0"/>
          <c:tx>
            <c:strRef>
              <c:f>'Table 2.1'!$D$4</c:f>
              <c:strCache>
                <c:ptCount val="1"/>
                <c:pt idx="0">
                  <c:v>Amount</c:v>
                </c:pt>
              </c:strCache>
            </c:strRef>
          </c:tx>
          <c:spPr>
            <a:solidFill>
              <a:srgbClr val="9999FF"/>
            </a:solidFill>
            <a:ln w="12700">
              <a:solidFill>
                <a:srgbClr val="000000"/>
              </a:solidFill>
              <a:prstDash val="solid"/>
            </a:ln>
          </c:spPr>
          <c:invertIfNegative val="0"/>
          <c:cat>
            <c:numRef>
              <c:f>'Table 2.1'!$A$5:$A$15</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 2.1'!$D$5:$D$15</c:f>
              <c:numCache>
                <c:formatCode>#,##0</c:formatCode>
                <c:ptCount val="11"/>
                <c:pt idx="0" formatCode="&quot;$&quot;#,##0">
                  <c:v>806472760</c:v>
                </c:pt>
                <c:pt idx="1">
                  <c:v>822258802.83999991</c:v>
                </c:pt>
                <c:pt idx="2">
                  <c:v>859922839.54999995</c:v>
                </c:pt>
                <c:pt idx="3">
                  <c:v>796728154.4000001</c:v>
                </c:pt>
                <c:pt idx="4">
                  <c:v>757490742.09000015</c:v>
                </c:pt>
                <c:pt idx="5">
                  <c:v>831906887.15999985</c:v>
                </c:pt>
                <c:pt idx="6">
                  <c:v>764948013.7700001</c:v>
                </c:pt>
                <c:pt idx="7">
                  <c:v>826960822.31000006</c:v>
                </c:pt>
                <c:pt idx="8">
                  <c:v>861897138.17999983</c:v>
                </c:pt>
                <c:pt idx="9">
                  <c:v>943390660.94999993</c:v>
                </c:pt>
                <c:pt idx="10">
                  <c:v>1011649618.0699999</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150"/>
        <c:shape val="box"/>
        <c:axId val="80448512"/>
        <c:axId val="80454784"/>
        <c:axId val="0"/>
      </c:bar3D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54784"/>
        <c:crosses val="autoZero"/>
        <c:auto val="1"/>
        <c:lblAlgn val="ctr"/>
        <c:lblOffset val="100"/>
        <c:tickLblSkip val="1"/>
        <c:tickMarkSkip val="1"/>
        <c:noMultiLvlLbl val="0"/>
      </c:catAx>
      <c:valAx>
        <c:axId val="804547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868"/>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41910</xdr:colOff>
      <xdr:row>25</xdr:row>
      <xdr:rowOff>78105</xdr:rowOff>
    </xdr:from>
    <xdr:to>
      <xdr:col>11</xdr:col>
      <xdr:colOff>171450</xdr:colOff>
      <xdr:row>47</xdr:row>
      <xdr:rowOff>179705</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83820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xdr:colOff>
      <xdr:row>3</xdr:row>
      <xdr:rowOff>561976</xdr:rowOff>
    </xdr:from>
    <xdr:to>
      <xdr:col>7</xdr:col>
      <xdr:colOff>428625</xdr:colOff>
      <xdr:row>20</xdr:row>
      <xdr:rowOff>123826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19</xdr:row>
      <xdr:rowOff>114300</xdr:rowOff>
    </xdr:from>
    <xdr:to>
      <xdr:col>9</xdr:col>
      <xdr:colOff>283845</xdr:colOff>
      <xdr:row>38</xdr:row>
      <xdr:rowOff>173355</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xdr:colOff>
      <xdr:row>0</xdr:row>
      <xdr:rowOff>0</xdr:rowOff>
    </xdr:from>
    <xdr:to>
      <xdr:col>9</xdr:col>
      <xdr:colOff>329565</xdr:colOff>
      <xdr:row>17</xdr:row>
      <xdr:rowOff>3810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161926</xdr:colOff>
      <xdr:row>35</xdr:row>
      <xdr:rowOff>160020</xdr:rowOff>
    </xdr:from>
    <xdr:to>
      <xdr:col>6</xdr:col>
      <xdr:colOff>1</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83820</xdr:colOff>
      <xdr:row>35</xdr:row>
      <xdr:rowOff>41910</xdr:rowOff>
    </xdr:from>
    <xdr:to>
      <xdr:col>7</xdr:col>
      <xdr:colOff>457200</xdr:colOff>
      <xdr:row>48</xdr:row>
      <xdr:rowOff>95250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25</xdr:row>
      <xdr:rowOff>129540</xdr:rowOff>
    </xdr:from>
    <xdr:to>
      <xdr:col>12</xdr:col>
      <xdr:colOff>746760</xdr:colOff>
      <xdr:row>40</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20</xdr:row>
      <xdr:rowOff>152400</xdr:rowOff>
    </xdr:from>
    <xdr:to>
      <xdr:col>4</xdr:col>
      <xdr:colOff>30480</xdr:colOff>
      <xdr:row>36</xdr:row>
      <xdr:rowOff>152400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33</xdr:row>
      <xdr:rowOff>144780</xdr:rowOff>
    </xdr:from>
    <xdr:to>
      <xdr:col>7</xdr:col>
      <xdr:colOff>548640</xdr:colOff>
      <xdr:row>49</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31</xdr:row>
      <xdr:rowOff>53340</xdr:rowOff>
    </xdr:from>
    <xdr:to>
      <xdr:col>5</xdr:col>
      <xdr:colOff>1129665</xdr:colOff>
      <xdr:row>45</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903"/>
      <c r="B1" s="138"/>
      <c r="C1" s="138"/>
      <c r="D1" s="138"/>
      <c r="E1" s="138"/>
      <c r="F1" s="138"/>
      <c r="G1" s="138"/>
      <c r="H1" s="138"/>
    </row>
    <row r="2" spans="1:8" ht="15">
      <c r="A2" s="138"/>
      <c r="B2" s="138"/>
      <c r="C2" s="138"/>
      <c r="D2" s="138"/>
      <c r="E2" s="138"/>
      <c r="F2" s="138"/>
      <c r="G2" s="138"/>
      <c r="H2" s="138"/>
    </row>
    <row r="3" spans="1:8" ht="15">
      <c r="A3" s="138"/>
      <c r="B3" s="138"/>
      <c r="C3" s="138"/>
      <c r="D3" s="138"/>
      <c r="E3" s="138"/>
      <c r="F3" s="138"/>
      <c r="G3" s="138"/>
      <c r="H3" s="138"/>
    </row>
    <row r="4" spans="1:8" ht="15">
      <c r="A4" s="138"/>
      <c r="B4" s="138"/>
      <c r="C4" s="138"/>
      <c r="D4" s="138"/>
      <c r="E4" s="138"/>
      <c r="F4" s="138"/>
      <c r="G4" s="138"/>
      <c r="H4" s="138"/>
    </row>
    <row r="5" spans="1:8" ht="20.25">
      <c r="A5" s="1310" t="s">
        <v>1135</v>
      </c>
      <c r="B5" s="1310"/>
      <c r="C5" s="1310"/>
      <c r="D5" s="1310"/>
      <c r="E5" s="1310"/>
      <c r="F5" s="1310"/>
      <c r="G5" s="1310"/>
      <c r="H5" s="1310"/>
    </row>
    <row r="6" spans="1:8" ht="20.25">
      <c r="A6" s="139"/>
      <c r="B6" s="140"/>
      <c r="C6" s="140"/>
      <c r="D6" s="140"/>
      <c r="E6" s="140"/>
      <c r="F6" s="140"/>
      <c r="G6" s="140"/>
      <c r="H6" s="140"/>
    </row>
    <row r="7" spans="1:8" ht="20.25">
      <c r="A7" s="1310" t="s">
        <v>327</v>
      </c>
      <c r="B7" s="1310"/>
      <c r="C7" s="1310"/>
      <c r="D7" s="1310"/>
      <c r="E7" s="1310"/>
      <c r="F7" s="1310"/>
      <c r="G7" s="1310"/>
      <c r="H7" s="1310"/>
    </row>
    <row r="8" spans="1:8" ht="20.25">
      <c r="A8" s="139"/>
      <c r="B8" s="140"/>
      <c r="C8" s="140"/>
      <c r="D8" s="140"/>
      <c r="E8" s="140"/>
      <c r="F8" s="140"/>
      <c r="G8" s="140"/>
      <c r="H8" s="140"/>
    </row>
    <row r="9" spans="1:8" ht="20.25">
      <c r="A9" s="1310" t="s">
        <v>1145</v>
      </c>
      <c r="B9" s="1310"/>
      <c r="C9" s="1310"/>
      <c r="D9" s="1310"/>
      <c r="E9" s="1310"/>
      <c r="F9" s="1310"/>
      <c r="G9" s="1310"/>
      <c r="H9" s="1310"/>
    </row>
    <row r="10" spans="1:8" ht="15.75">
      <c r="A10" s="141"/>
      <c r="B10" s="142"/>
      <c r="C10" s="142"/>
      <c r="D10" s="142"/>
      <c r="E10" s="142"/>
      <c r="F10" s="142"/>
      <c r="G10" s="142"/>
      <c r="H10" s="142"/>
    </row>
    <row r="11" spans="1:8" ht="15.75">
      <c r="A11" s="141"/>
      <c r="B11" s="142"/>
      <c r="C11" s="142"/>
      <c r="D11" s="142"/>
      <c r="E11" s="142"/>
      <c r="F11" s="142"/>
      <c r="G11" s="142"/>
      <c r="H11" s="142"/>
    </row>
    <row r="12" spans="1:8" ht="18">
      <c r="A12" s="1309" t="s">
        <v>328</v>
      </c>
      <c r="B12" s="1309"/>
      <c r="C12" s="1309"/>
      <c r="D12" s="1309"/>
      <c r="E12" s="1309"/>
      <c r="F12" s="1309"/>
      <c r="G12" s="1309"/>
      <c r="H12" s="1309"/>
    </row>
    <row r="13" spans="1:8" ht="18">
      <c r="A13" s="1309" t="s">
        <v>329</v>
      </c>
      <c r="B13" s="1309"/>
      <c r="C13" s="1309"/>
      <c r="D13" s="1309"/>
      <c r="E13" s="1309"/>
      <c r="F13" s="1309"/>
      <c r="G13" s="1309"/>
      <c r="H13" s="1309"/>
    </row>
    <row r="14" spans="1:8" ht="18">
      <c r="A14" s="143"/>
      <c r="B14" s="143"/>
      <c r="C14" s="143"/>
      <c r="D14" s="143"/>
      <c r="E14" s="143"/>
      <c r="F14" s="143"/>
      <c r="G14" s="143"/>
      <c r="H14" s="143"/>
    </row>
    <row r="15" spans="1:8" ht="18">
      <c r="A15" s="143"/>
      <c r="B15" s="143"/>
      <c r="C15" s="143"/>
      <c r="D15" s="143"/>
      <c r="E15" s="143"/>
      <c r="F15" s="143"/>
      <c r="G15" s="143"/>
      <c r="H15" s="143"/>
    </row>
    <row r="16" spans="1:8" ht="18">
      <c r="A16" s="1309" t="s">
        <v>1016</v>
      </c>
      <c r="B16" s="1309"/>
      <c r="C16" s="1309"/>
      <c r="D16" s="1309"/>
      <c r="E16" s="1309"/>
      <c r="F16" s="1309"/>
      <c r="G16" s="1309"/>
      <c r="H16" s="1309"/>
    </row>
    <row r="17" spans="1:8" ht="18">
      <c r="A17" s="143"/>
      <c r="B17" s="143"/>
      <c r="C17" s="143"/>
      <c r="D17" s="143"/>
      <c r="E17" s="143"/>
      <c r="F17" s="143"/>
      <c r="G17" s="143"/>
      <c r="H17" s="143"/>
    </row>
    <row r="18" spans="1:8" ht="18">
      <c r="A18" s="1309" t="s">
        <v>1015</v>
      </c>
      <c r="B18" s="1309"/>
      <c r="C18" s="1309"/>
      <c r="D18" s="1309"/>
      <c r="E18" s="1309"/>
      <c r="F18" s="1309"/>
      <c r="G18" s="1309"/>
      <c r="H18" s="1309"/>
    </row>
    <row r="19" spans="1:8" ht="18">
      <c r="A19" s="143"/>
      <c r="B19" s="143"/>
      <c r="C19" s="143"/>
      <c r="D19" s="143"/>
      <c r="E19" s="143"/>
      <c r="F19" s="143"/>
      <c r="G19" s="143"/>
      <c r="H19" s="143"/>
    </row>
    <row r="20" spans="1:8" ht="18">
      <c r="A20" s="1309" t="s">
        <v>330</v>
      </c>
      <c r="B20" s="1309"/>
      <c r="C20" s="1309"/>
      <c r="D20" s="1309"/>
      <c r="E20" s="1309"/>
      <c r="F20" s="1309"/>
      <c r="G20" s="1309"/>
      <c r="H20" s="1309"/>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1"/>
  <sheetViews>
    <sheetView showOutlineSymbols="0" zoomScaleNormal="100" workbookViewId="0"/>
  </sheetViews>
  <sheetFormatPr defaultColWidth="10.7109375" defaultRowHeight="15"/>
  <cols>
    <col min="1" max="1" width="15" style="422" customWidth="1"/>
    <col min="2" max="2" width="12.7109375" style="422" bestFit="1" customWidth="1"/>
    <col min="3" max="3" width="15.85546875" style="422" customWidth="1"/>
    <col min="4" max="4" width="2.7109375" style="422" customWidth="1"/>
    <col min="5" max="6" width="12" style="422" bestFit="1" customWidth="1"/>
    <col min="7" max="7" width="17.5703125" style="422" customWidth="1"/>
    <col min="8" max="8" width="12.7109375" style="422" bestFit="1" customWidth="1"/>
    <col min="9" max="9" width="2.5703125" style="422" customWidth="1"/>
    <col min="10" max="10" width="12" style="694" bestFit="1" customWidth="1"/>
    <col min="11" max="11" width="14.7109375" style="694" customWidth="1"/>
    <col min="12" max="12" width="12.85546875" style="694" customWidth="1"/>
    <col min="13" max="16384" width="10.7109375" style="422"/>
  </cols>
  <sheetData>
    <row r="1" spans="1:13" ht="18">
      <c r="A1" s="399" t="s">
        <v>724</v>
      </c>
      <c r="B1" s="621"/>
      <c r="C1" s="408"/>
      <c r="D1" s="408"/>
      <c r="E1" s="621"/>
      <c r="F1" s="621"/>
      <c r="G1" s="408"/>
      <c r="H1" s="621"/>
      <c r="I1" s="621"/>
      <c r="J1" s="622"/>
      <c r="K1" s="622"/>
      <c r="L1" s="623"/>
    </row>
    <row r="2" spans="1:13" ht="15.75">
      <c r="A2" s="402" t="s">
        <v>1011</v>
      </c>
      <c r="B2" s="621"/>
      <c r="C2" s="408"/>
      <c r="D2" s="408"/>
      <c r="E2" s="621"/>
      <c r="F2" s="621"/>
      <c r="G2" s="408"/>
      <c r="H2" s="621"/>
      <c r="I2" s="621"/>
      <c r="J2" s="624"/>
      <c r="K2" s="624"/>
      <c r="L2" s="499"/>
    </row>
    <row r="3" spans="1:13" ht="15.75">
      <c r="A3" s="625" t="str">
        <f>'Table 1.2'!A3</f>
        <v>Taxable Year 2018</v>
      </c>
      <c r="B3" s="626"/>
      <c r="C3" s="434"/>
      <c r="D3" s="434"/>
      <c r="E3" s="626"/>
      <c r="F3" s="626"/>
      <c r="G3" s="434"/>
      <c r="H3" s="626"/>
      <c r="I3" s="626"/>
      <c r="J3" s="624"/>
      <c r="K3" s="624"/>
      <c r="L3" s="499"/>
    </row>
    <row r="4" spans="1:13" ht="13.15" customHeight="1" thickBot="1">
      <c r="A4" s="432"/>
      <c r="B4" s="626"/>
      <c r="C4" s="434"/>
      <c r="D4" s="434"/>
      <c r="E4" s="626"/>
      <c r="F4" s="626"/>
      <c r="G4" s="434"/>
      <c r="H4" s="626"/>
      <c r="I4" s="626"/>
      <c r="J4" s="624"/>
      <c r="K4" s="624"/>
      <c r="L4" s="499"/>
      <c r="M4" s="627"/>
    </row>
    <row r="5" spans="1:13">
      <c r="A5" s="628"/>
      <c r="B5" s="1318" t="s">
        <v>410</v>
      </c>
      <c r="C5" s="1318"/>
      <c r="D5" s="629"/>
      <c r="E5" s="1319" t="s">
        <v>411</v>
      </c>
      <c r="F5" s="1320"/>
      <c r="G5" s="1320"/>
      <c r="H5" s="1320"/>
      <c r="I5" s="630"/>
      <c r="J5" s="631"/>
      <c r="K5" s="632" t="s">
        <v>725</v>
      </c>
      <c r="L5" s="633"/>
      <c r="M5" s="627"/>
    </row>
    <row r="6" spans="1:13" ht="13.15" customHeight="1">
      <c r="A6" s="634"/>
      <c r="B6" s="635"/>
      <c r="C6" s="636"/>
      <c r="D6" s="636"/>
      <c r="E6" s="637"/>
      <c r="F6" s="635"/>
      <c r="G6" s="636"/>
      <c r="H6" s="638" t="s">
        <v>17</v>
      </c>
      <c r="I6" s="639"/>
      <c r="J6" s="640"/>
      <c r="K6" s="641" t="s">
        <v>985</v>
      </c>
      <c r="L6" s="641" t="s">
        <v>985</v>
      </c>
    </row>
    <row r="7" spans="1:13" ht="13.15" customHeight="1">
      <c r="A7" s="411" t="s">
        <v>23</v>
      </c>
      <c r="B7" s="642" t="s">
        <v>726</v>
      </c>
      <c r="C7" s="411" t="s">
        <v>20</v>
      </c>
      <c r="D7" s="411"/>
      <c r="E7" s="643" t="s">
        <v>407</v>
      </c>
      <c r="F7" s="642" t="s">
        <v>406</v>
      </c>
      <c r="G7" s="411" t="s">
        <v>20</v>
      </c>
      <c r="H7" s="642" t="s">
        <v>404</v>
      </c>
      <c r="I7" s="644"/>
      <c r="J7" s="645" t="s">
        <v>727</v>
      </c>
      <c r="K7" s="645" t="s">
        <v>402</v>
      </c>
      <c r="L7" s="646" t="s">
        <v>984</v>
      </c>
    </row>
    <row r="8" spans="1:13" ht="10.7" customHeight="1">
      <c r="A8" s="434"/>
      <c r="B8" s="626"/>
      <c r="C8" s="434"/>
      <c r="D8" s="434"/>
      <c r="E8" s="647"/>
      <c r="F8" s="626"/>
      <c r="G8" s="434"/>
      <c r="H8" s="626"/>
      <c r="I8" s="648"/>
      <c r="J8" s="624"/>
      <c r="K8" s="624"/>
      <c r="L8" s="499"/>
    </row>
    <row r="9" spans="1:13" ht="13.15" customHeight="1">
      <c r="A9" s="358" t="s">
        <v>422</v>
      </c>
      <c r="B9" s="349">
        <v>41962</v>
      </c>
      <c r="C9" s="649">
        <v>38037527.109999999</v>
      </c>
      <c r="D9" s="649"/>
      <c r="E9" s="650">
        <v>16502</v>
      </c>
      <c r="F9" s="353">
        <v>2053</v>
      </c>
      <c r="G9" s="649">
        <v>238754516.80000001</v>
      </c>
      <c r="H9" s="353">
        <v>18555</v>
      </c>
      <c r="I9" s="651"/>
      <c r="J9" s="497">
        <v>10998</v>
      </c>
      <c r="K9" s="488">
        <v>6844</v>
      </c>
      <c r="L9" s="622">
        <v>713</v>
      </c>
    </row>
    <row r="10" spans="1:13" ht="13.15" customHeight="1">
      <c r="A10" s="391" t="s">
        <v>426</v>
      </c>
      <c r="B10" s="349">
        <v>115211</v>
      </c>
      <c r="C10" s="353">
        <v>103548527.94</v>
      </c>
      <c r="D10" s="353"/>
      <c r="E10" s="650">
        <v>39952</v>
      </c>
      <c r="F10" s="353">
        <v>10066</v>
      </c>
      <c r="G10" s="353">
        <v>545671635.89999998</v>
      </c>
      <c r="H10" s="353">
        <v>50018</v>
      </c>
      <c r="I10" s="651"/>
      <c r="J10" s="497">
        <v>27622</v>
      </c>
      <c r="K10" s="488">
        <v>20816</v>
      </c>
      <c r="L10" s="622">
        <v>1580</v>
      </c>
    </row>
    <row r="11" spans="1:13" ht="13.15" customHeight="1">
      <c r="A11" s="391" t="s">
        <v>430</v>
      </c>
      <c r="B11" s="349">
        <v>16510</v>
      </c>
      <c r="C11" s="353">
        <v>14978843.380000001</v>
      </c>
      <c r="D11" s="353"/>
      <c r="E11" s="650">
        <v>6790</v>
      </c>
      <c r="F11" s="353">
        <v>385</v>
      </c>
      <c r="G11" s="353">
        <v>44854096.700000003</v>
      </c>
      <c r="H11" s="353">
        <v>7175</v>
      </c>
      <c r="I11" s="651"/>
      <c r="J11" s="497">
        <v>3844</v>
      </c>
      <c r="K11" s="488">
        <v>3148</v>
      </c>
      <c r="L11" s="622">
        <v>183</v>
      </c>
    </row>
    <row r="12" spans="1:13" ht="13.15" customHeight="1">
      <c r="A12" s="391" t="s">
        <v>434</v>
      </c>
      <c r="B12" s="349">
        <v>13867</v>
      </c>
      <c r="C12" s="353">
        <v>12635969.699999999</v>
      </c>
      <c r="D12" s="353"/>
      <c r="E12" s="650">
        <v>5457</v>
      </c>
      <c r="F12" s="353">
        <v>549</v>
      </c>
      <c r="G12" s="353">
        <v>49484304.200000003</v>
      </c>
      <c r="H12" s="353">
        <v>6006</v>
      </c>
      <c r="I12" s="651"/>
      <c r="J12" s="497">
        <v>3282</v>
      </c>
      <c r="K12" s="488">
        <v>2579</v>
      </c>
      <c r="L12" s="622">
        <v>145</v>
      </c>
    </row>
    <row r="13" spans="1:13" ht="13.15" customHeight="1">
      <c r="A13" s="391" t="s">
        <v>438</v>
      </c>
      <c r="B13" s="349">
        <v>30880</v>
      </c>
      <c r="C13" s="353">
        <v>28052369.440000001</v>
      </c>
      <c r="D13" s="353"/>
      <c r="E13" s="650">
        <v>12622</v>
      </c>
      <c r="F13" s="353">
        <v>897</v>
      </c>
      <c r="G13" s="353">
        <v>77787188.900000006</v>
      </c>
      <c r="H13" s="353">
        <v>13519</v>
      </c>
      <c r="I13" s="651"/>
      <c r="J13" s="497">
        <v>7589</v>
      </c>
      <c r="K13" s="488">
        <v>5608</v>
      </c>
      <c r="L13" s="622">
        <v>322</v>
      </c>
    </row>
    <row r="14" spans="1:13" ht="10.7" customHeight="1">
      <c r="A14" s="391"/>
      <c r="B14" s="349"/>
      <c r="C14" s="353"/>
      <c r="D14" s="353"/>
      <c r="E14" s="650"/>
      <c r="F14" s="353"/>
      <c r="G14" s="353"/>
      <c r="H14" s="353"/>
      <c r="I14" s="651"/>
      <c r="J14" s="497"/>
      <c r="K14" s="488"/>
      <c r="L14" s="622"/>
    </row>
    <row r="15" spans="1:13" ht="13.15" customHeight="1">
      <c r="A15" s="391" t="s">
        <v>442</v>
      </c>
      <c r="B15" s="349">
        <v>16252</v>
      </c>
      <c r="C15" s="353">
        <v>14783254.460000001</v>
      </c>
      <c r="D15" s="353"/>
      <c r="E15" s="650">
        <v>6385</v>
      </c>
      <c r="F15" s="353">
        <v>480</v>
      </c>
      <c r="G15" s="353">
        <v>44713050.899999999</v>
      </c>
      <c r="H15" s="353">
        <v>6865</v>
      </c>
      <c r="I15" s="651"/>
      <c r="J15" s="497">
        <v>3626</v>
      </c>
      <c r="K15" s="488">
        <v>3054</v>
      </c>
      <c r="L15" s="622">
        <v>185</v>
      </c>
    </row>
    <row r="16" spans="1:13" ht="13.15" customHeight="1">
      <c r="A16" s="391" t="s">
        <v>446</v>
      </c>
      <c r="B16" s="349">
        <v>240939</v>
      </c>
      <c r="C16" s="353">
        <v>215819320.75999999</v>
      </c>
      <c r="D16" s="353"/>
      <c r="E16" s="650">
        <v>98213</v>
      </c>
      <c r="F16" s="353">
        <v>33646</v>
      </c>
      <c r="G16" s="353">
        <v>1424664013.6800001</v>
      </c>
      <c r="H16" s="353">
        <v>131859</v>
      </c>
      <c r="I16" s="651"/>
      <c r="J16" s="497">
        <v>89184</v>
      </c>
      <c r="K16" s="488">
        <v>37458</v>
      </c>
      <c r="L16" s="622">
        <v>5217</v>
      </c>
    </row>
    <row r="17" spans="1:12" ht="13.15" customHeight="1">
      <c r="A17" s="391" t="s">
        <v>450</v>
      </c>
      <c r="B17" s="349">
        <v>80790</v>
      </c>
      <c r="C17" s="353">
        <v>73257851.530000001</v>
      </c>
      <c r="D17" s="353"/>
      <c r="E17" s="650">
        <v>31687</v>
      </c>
      <c r="F17" s="353">
        <v>2930</v>
      </c>
      <c r="G17" s="353">
        <v>217388300.30000001</v>
      </c>
      <c r="H17" s="353">
        <v>34617</v>
      </c>
      <c r="I17" s="651"/>
      <c r="J17" s="497">
        <v>17920</v>
      </c>
      <c r="K17" s="488">
        <v>15901</v>
      </c>
      <c r="L17" s="622">
        <v>796</v>
      </c>
    </row>
    <row r="18" spans="1:12" ht="13.15" customHeight="1">
      <c r="A18" s="391" t="s">
        <v>454</v>
      </c>
      <c r="B18" s="349">
        <v>5270</v>
      </c>
      <c r="C18" s="353">
        <v>4761911.1500000004</v>
      </c>
      <c r="D18" s="353"/>
      <c r="E18" s="650">
        <v>2234</v>
      </c>
      <c r="F18" s="353">
        <v>168</v>
      </c>
      <c r="G18" s="353">
        <v>20530866.809999999</v>
      </c>
      <c r="H18" s="353">
        <v>2402</v>
      </c>
      <c r="I18" s="651"/>
      <c r="J18" s="497">
        <v>1345</v>
      </c>
      <c r="K18" s="488">
        <v>999</v>
      </c>
      <c r="L18" s="622">
        <v>58</v>
      </c>
    </row>
    <row r="19" spans="1:12" ht="13.15" customHeight="1">
      <c r="A19" s="391" t="s">
        <v>458</v>
      </c>
      <c r="B19" s="349">
        <v>84885</v>
      </c>
      <c r="C19" s="353">
        <v>76766126.209999993</v>
      </c>
      <c r="D19" s="353"/>
      <c r="E19" s="650">
        <v>31708</v>
      </c>
      <c r="F19" s="353">
        <v>3854</v>
      </c>
      <c r="G19" s="353">
        <v>255825894.80000001</v>
      </c>
      <c r="H19" s="353">
        <v>35562</v>
      </c>
      <c r="I19" s="651"/>
      <c r="J19" s="497">
        <v>17375</v>
      </c>
      <c r="K19" s="488">
        <v>17319</v>
      </c>
      <c r="L19" s="622">
        <v>868</v>
      </c>
    </row>
    <row r="20" spans="1:12" ht="10.7" customHeight="1">
      <c r="A20" s="391"/>
      <c r="B20" s="349"/>
      <c r="C20" s="353"/>
      <c r="D20" s="353"/>
      <c r="E20" s="650"/>
      <c r="F20" s="353"/>
      <c r="G20" s="353"/>
      <c r="H20" s="353"/>
      <c r="I20" s="651"/>
      <c r="J20" s="497"/>
      <c r="K20" s="488"/>
      <c r="L20" s="622"/>
    </row>
    <row r="21" spans="1:12" ht="13.15" customHeight="1">
      <c r="A21" s="391" t="s">
        <v>462</v>
      </c>
      <c r="B21" s="349">
        <v>5797</v>
      </c>
      <c r="C21" s="353">
        <v>5250389.4400000004</v>
      </c>
      <c r="D21" s="353"/>
      <c r="E21" s="650">
        <v>2386</v>
      </c>
      <c r="F21" s="353">
        <v>121</v>
      </c>
      <c r="G21" s="353">
        <v>14284228.9</v>
      </c>
      <c r="H21" s="353">
        <v>2507</v>
      </c>
      <c r="I21" s="651"/>
      <c r="J21" s="497">
        <v>1240</v>
      </c>
      <c r="K21" s="488">
        <v>1185</v>
      </c>
      <c r="L21" s="622">
        <v>82</v>
      </c>
    </row>
    <row r="22" spans="1:12" ht="13.15" customHeight="1">
      <c r="A22" s="391" t="s">
        <v>466</v>
      </c>
      <c r="B22" s="349">
        <v>35942</v>
      </c>
      <c r="C22" s="353">
        <v>32558225.710000001</v>
      </c>
      <c r="D22" s="353"/>
      <c r="E22" s="650">
        <v>13025</v>
      </c>
      <c r="F22" s="353">
        <v>1818</v>
      </c>
      <c r="G22" s="353">
        <v>111847979.2</v>
      </c>
      <c r="H22" s="353">
        <v>14843</v>
      </c>
      <c r="I22" s="651"/>
      <c r="J22" s="497">
        <v>6974</v>
      </c>
      <c r="K22" s="488">
        <v>7529</v>
      </c>
      <c r="L22" s="622">
        <v>340</v>
      </c>
    </row>
    <row r="23" spans="1:12" ht="13.15" customHeight="1">
      <c r="A23" s="391" t="s">
        <v>470</v>
      </c>
      <c r="B23" s="349">
        <v>14031</v>
      </c>
      <c r="C23" s="353">
        <v>12751734.6</v>
      </c>
      <c r="D23" s="353"/>
      <c r="E23" s="650">
        <v>5741</v>
      </c>
      <c r="F23" s="353">
        <v>511</v>
      </c>
      <c r="G23" s="353">
        <v>39076554</v>
      </c>
      <c r="H23" s="353">
        <v>6252</v>
      </c>
      <c r="I23" s="651"/>
      <c r="J23" s="497">
        <v>4062</v>
      </c>
      <c r="K23" s="488">
        <v>1980</v>
      </c>
      <c r="L23" s="622">
        <v>210</v>
      </c>
    </row>
    <row r="24" spans="1:12" ht="13.15" customHeight="1">
      <c r="A24" s="391" t="s">
        <v>474</v>
      </c>
      <c r="B24" s="349">
        <v>16235</v>
      </c>
      <c r="C24" s="353">
        <v>14839292.560000001</v>
      </c>
      <c r="D24" s="353"/>
      <c r="E24" s="650">
        <v>6581</v>
      </c>
      <c r="F24" s="353">
        <v>211</v>
      </c>
      <c r="G24" s="353">
        <v>40626375.299999997</v>
      </c>
      <c r="H24" s="353">
        <v>6792</v>
      </c>
      <c r="I24" s="651"/>
      <c r="J24" s="497">
        <v>3263</v>
      </c>
      <c r="K24" s="488">
        <v>3370</v>
      </c>
      <c r="L24" s="622">
        <v>159</v>
      </c>
    </row>
    <row r="25" spans="1:12" ht="13.15" customHeight="1">
      <c r="A25" s="391" t="s">
        <v>478</v>
      </c>
      <c r="B25" s="349">
        <v>13648</v>
      </c>
      <c r="C25" s="353">
        <v>12413995.68</v>
      </c>
      <c r="D25" s="353"/>
      <c r="E25" s="650">
        <v>5669</v>
      </c>
      <c r="F25" s="353">
        <v>344</v>
      </c>
      <c r="G25" s="353">
        <v>32242188</v>
      </c>
      <c r="H25" s="353">
        <v>6013</v>
      </c>
      <c r="I25" s="651"/>
      <c r="J25" s="497">
        <v>3628</v>
      </c>
      <c r="K25" s="488">
        <v>2177</v>
      </c>
      <c r="L25" s="622">
        <v>208</v>
      </c>
    </row>
    <row r="26" spans="1:12" ht="10.7" customHeight="1">
      <c r="A26" s="391"/>
      <c r="B26" s="349"/>
      <c r="C26" s="353"/>
      <c r="D26" s="353"/>
      <c r="E26" s="650"/>
      <c r="F26" s="353"/>
      <c r="G26" s="353"/>
      <c r="H26" s="353"/>
      <c r="I26" s="651"/>
      <c r="J26" s="497"/>
      <c r="K26" s="488"/>
      <c r="L26" s="622"/>
    </row>
    <row r="27" spans="1:12" ht="13.15" customHeight="1">
      <c r="A27" s="391" t="s">
        <v>482</v>
      </c>
      <c r="B27" s="349">
        <v>54307</v>
      </c>
      <c r="C27" s="353">
        <v>49361351.5</v>
      </c>
      <c r="D27" s="353"/>
      <c r="E27" s="650">
        <v>22615</v>
      </c>
      <c r="F27" s="353">
        <v>1431</v>
      </c>
      <c r="G27" s="497">
        <v>133462999.90000001</v>
      </c>
      <c r="H27" s="353">
        <v>24046</v>
      </c>
      <c r="I27" s="651"/>
      <c r="J27" s="497">
        <v>13465</v>
      </c>
      <c r="K27" s="488">
        <v>9956</v>
      </c>
      <c r="L27" s="622">
        <v>625</v>
      </c>
    </row>
    <row r="28" spans="1:12" ht="13.15" customHeight="1">
      <c r="A28" s="391" t="s">
        <v>484</v>
      </c>
      <c r="B28" s="349">
        <v>30191</v>
      </c>
      <c r="C28" s="353">
        <v>27508270.780000001</v>
      </c>
      <c r="D28" s="353"/>
      <c r="E28" s="650">
        <v>11875</v>
      </c>
      <c r="F28" s="353">
        <v>1742</v>
      </c>
      <c r="G28" s="353">
        <v>92465163.099999994</v>
      </c>
      <c r="H28" s="353">
        <v>13617</v>
      </c>
      <c r="I28" s="651"/>
      <c r="J28" s="497">
        <v>8097</v>
      </c>
      <c r="K28" s="488">
        <v>5057</v>
      </c>
      <c r="L28" s="622">
        <v>463</v>
      </c>
    </row>
    <row r="29" spans="1:12" ht="13.15" customHeight="1">
      <c r="A29" s="391" t="s">
        <v>487</v>
      </c>
      <c r="B29" s="349">
        <v>28130</v>
      </c>
      <c r="C29" s="353">
        <v>25523189.82</v>
      </c>
      <c r="D29" s="353"/>
      <c r="E29" s="650">
        <v>11778</v>
      </c>
      <c r="F29" s="353">
        <v>444</v>
      </c>
      <c r="G29" s="353">
        <v>67016790.600000001</v>
      </c>
      <c r="H29" s="353">
        <v>12222</v>
      </c>
      <c r="I29" s="651"/>
      <c r="J29" s="497">
        <v>6292</v>
      </c>
      <c r="K29" s="488">
        <v>5542</v>
      </c>
      <c r="L29" s="622">
        <v>388</v>
      </c>
    </row>
    <row r="30" spans="1:12" ht="13.15" customHeight="1">
      <c r="A30" s="391" t="s">
        <v>490</v>
      </c>
      <c r="B30" s="349">
        <v>7278</v>
      </c>
      <c r="C30" s="353">
        <v>6606309</v>
      </c>
      <c r="D30" s="353"/>
      <c r="E30" s="650">
        <v>3089</v>
      </c>
      <c r="F30" s="353">
        <v>351</v>
      </c>
      <c r="G30" s="353">
        <v>21660061.100000001</v>
      </c>
      <c r="H30" s="353">
        <v>3440</v>
      </c>
      <c r="I30" s="651"/>
      <c r="J30" s="497">
        <v>2096</v>
      </c>
      <c r="K30" s="488">
        <v>1218</v>
      </c>
      <c r="L30" s="622">
        <v>126</v>
      </c>
    </row>
    <row r="31" spans="1:12" ht="13.15" customHeight="1">
      <c r="A31" s="391" t="s">
        <v>493</v>
      </c>
      <c r="B31" s="349">
        <v>11869</v>
      </c>
      <c r="C31" s="353">
        <v>10792266.67</v>
      </c>
      <c r="D31" s="353"/>
      <c r="E31" s="650">
        <v>4803</v>
      </c>
      <c r="F31" s="353">
        <v>283</v>
      </c>
      <c r="G31" s="353">
        <v>34229457.299999997</v>
      </c>
      <c r="H31" s="353">
        <v>5086</v>
      </c>
      <c r="I31" s="651"/>
      <c r="J31" s="497">
        <v>2886</v>
      </c>
      <c r="K31" s="488">
        <v>2049</v>
      </c>
      <c r="L31" s="622">
        <v>151</v>
      </c>
    </row>
    <row r="32" spans="1:12" ht="10.7" customHeight="1">
      <c r="A32" s="391"/>
      <c r="B32" s="349"/>
      <c r="C32" s="353"/>
      <c r="D32" s="353"/>
      <c r="E32" s="650"/>
      <c r="F32" s="353"/>
      <c r="G32" s="353"/>
      <c r="H32" s="353"/>
      <c r="I32" s="651"/>
      <c r="J32" s="497"/>
      <c r="K32" s="488"/>
      <c r="L32" s="622"/>
    </row>
    <row r="33" spans="1:13" ht="13.15" customHeight="1">
      <c r="A33" s="391" t="s">
        <v>495</v>
      </c>
      <c r="B33" s="349">
        <v>369274</v>
      </c>
      <c r="C33" s="353">
        <v>335111182.70999998</v>
      </c>
      <c r="D33" s="353"/>
      <c r="E33" s="650">
        <v>132267</v>
      </c>
      <c r="F33" s="353">
        <v>27043</v>
      </c>
      <c r="G33" s="353">
        <v>1245715200.6099999</v>
      </c>
      <c r="H33" s="353">
        <v>159310</v>
      </c>
      <c r="I33" s="651"/>
      <c r="J33" s="497">
        <v>89630</v>
      </c>
      <c r="K33" s="488">
        <v>64927</v>
      </c>
      <c r="L33" s="622">
        <v>4753</v>
      </c>
    </row>
    <row r="34" spans="1:13" ht="13.15" customHeight="1">
      <c r="A34" s="391" t="s">
        <v>498</v>
      </c>
      <c r="B34" s="349">
        <v>16602</v>
      </c>
      <c r="C34" s="353">
        <v>15008044.9</v>
      </c>
      <c r="D34" s="353"/>
      <c r="E34" s="650">
        <v>5713</v>
      </c>
      <c r="F34" s="353">
        <v>1510</v>
      </c>
      <c r="G34" s="353">
        <v>65965361</v>
      </c>
      <c r="H34" s="353">
        <v>7223</v>
      </c>
      <c r="I34" s="651"/>
      <c r="J34" s="497">
        <v>3824</v>
      </c>
      <c r="K34" s="488">
        <v>3192</v>
      </c>
      <c r="L34" s="622">
        <v>207</v>
      </c>
    </row>
    <row r="35" spans="1:13" ht="13.15" customHeight="1">
      <c r="A35" s="391" t="s">
        <v>500</v>
      </c>
      <c r="B35" s="349">
        <v>5125</v>
      </c>
      <c r="C35" s="353">
        <v>4654515.37</v>
      </c>
      <c r="D35" s="353"/>
      <c r="E35" s="650">
        <v>2072</v>
      </c>
      <c r="F35" s="353">
        <v>124</v>
      </c>
      <c r="G35" s="353">
        <v>12305562.1</v>
      </c>
      <c r="H35" s="353">
        <v>2196</v>
      </c>
      <c r="I35" s="651"/>
      <c r="J35" s="497">
        <v>1093</v>
      </c>
      <c r="K35" s="488">
        <v>1052</v>
      </c>
      <c r="L35" s="622">
        <v>51</v>
      </c>
    </row>
    <row r="36" spans="1:13" ht="13.15" customHeight="1">
      <c r="A36" s="391" t="s">
        <v>503</v>
      </c>
      <c r="B36" s="349">
        <v>52852</v>
      </c>
      <c r="C36" s="353">
        <v>48067578.109999999</v>
      </c>
      <c r="D36" s="353"/>
      <c r="E36" s="650">
        <v>18740</v>
      </c>
      <c r="F36" s="353">
        <v>3654</v>
      </c>
      <c r="G36" s="353">
        <v>171736565</v>
      </c>
      <c r="H36" s="353">
        <v>22394</v>
      </c>
      <c r="I36" s="651"/>
      <c r="J36" s="497">
        <v>12365</v>
      </c>
      <c r="K36" s="488">
        <v>9413</v>
      </c>
      <c r="L36" s="622">
        <v>616</v>
      </c>
    </row>
    <row r="37" spans="1:13" ht="13.15" customHeight="1">
      <c r="A37" s="391" t="s">
        <v>506</v>
      </c>
      <c r="B37" s="349">
        <v>9236</v>
      </c>
      <c r="C37" s="353">
        <v>8387564.6900000004</v>
      </c>
      <c r="D37" s="353"/>
      <c r="E37" s="650">
        <v>3732</v>
      </c>
      <c r="F37" s="353">
        <v>329</v>
      </c>
      <c r="G37" s="353">
        <v>24218418.100000001</v>
      </c>
      <c r="H37" s="353">
        <v>4061</v>
      </c>
      <c r="I37" s="651"/>
      <c r="J37" s="497">
        <v>2352</v>
      </c>
      <c r="K37" s="488">
        <v>1544</v>
      </c>
      <c r="L37" s="622">
        <v>165</v>
      </c>
    </row>
    <row r="38" spans="1:13" ht="10.7" customHeight="1">
      <c r="A38" s="391"/>
      <c r="B38" s="349"/>
      <c r="C38" s="353"/>
      <c r="D38" s="353"/>
      <c r="E38" s="650"/>
      <c r="F38" s="353"/>
      <c r="G38" s="353"/>
      <c r="H38" s="353"/>
      <c r="I38" s="651"/>
      <c r="J38" s="497"/>
      <c r="K38" s="488"/>
      <c r="L38" s="622"/>
    </row>
    <row r="39" spans="1:13" ht="13.15" customHeight="1">
      <c r="A39" s="391" t="s">
        <v>509</v>
      </c>
      <c r="B39" s="349">
        <v>11271</v>
      </c>
      <c r="C39" s="353">
        <v>10292608.98</v>
      </c>
      <c r="D39" s="353"/>
      <c r="E39" s="650">
        <v>4578</v>
      </c>
      <c r="F39" s="353">
        <v>79</v>
      </c>
      <c r="G39" s="353">
        <v>54937513.5</v>
      </c>
      <c r="H39" s="353">
        <v>4657</v>
      </c>
      <c r="I39" s="651"/>
      <c r="J39" s="497">
        <v>2267</v>
      </c>
      <c r="K39" s="488">
        <v>2281</v>
      </c>
      <c r="L39" s="622">
        <v>109</v>
      </c>
    </row>
    <row r="40" spans="1:13" ht="13.15" customHeight="1">
      <c r="A40" s="391" t="s">
        <v>512</v>
      </c>
      <c r="B40" s="349">
        <v>26867</v>
      </c>
      <c r="C40" s="353">
        <v>24497063.140000001</v>
      </c>
      <c r="D40" s="353"/>
      <c r="E40" s="650">
        <v>10767</v>
      </c>
      <c r="F40" s="353">
        <v>1281</v>
      </c>
      <c r="G40" s="353">
        <v>79913245.900000006</v>
      </c>
      <c r="H40" s="353">
        <v>12048</v>
      </c>
      <c r="I40" s="651"/>
      <c r="J40" s="497">
        <v>7240</v>
      </c>
      <c r="K40" s="488">
        <v>4397</v>
      </c>
      <c r="L40" s="622">
        <v>411</v>
      </c>
    </row>
    <row r="41" spans="1:13" ht="13.15" customHeight="1">
      <c r="A41" s="391" t="s">
        <v>515</v>
      </c>
      <c r="B41" s="349">
        <v>11278</v>
      </c>
      <c r="C41" s="353">
        <v>10229868</v>
      </c>
      <c r="D41" s="353"/>
      <c r="E41" s="650">
        <v>4513</v>
      </c>
      <c r="F41" s="353">
        <v>552</v>
      </c>
      <c r="G41" s="497">
        <v>36161765.899999999</v>
      </c>
      <c r="H41" s="353">
        <v>5065</v>
      </c>
      <c r="I41" s="651"/>
      <c r="J41" s="497">
        <v>3126</v>
      </c>
      <c r="K41" s="488">
        <v>1759</v>
      </c>
      <c r="L41" s="622">
        <v>180</v>
      </c>
    </row>
    <row r="42" spans="1:13" ht="13.15" customHeight="1">
      <c r="A42" s="392" t="s">
        <v>518</v>
      </c>
      <c r="B42" s="349">
        <v>1215046</v>
      </c>
      <c r="C42" s="353">
        <v>1100636293.79</v>
      </c>
      <c r="D42" s="353"/>
      <c r="E42" s="650">
        <v>378174</v>
      </c>
      <c r="F42" s="353">
        <v>162660</v>
      </c>
      <c r="G42" s="353">
        <v>6897461141.8599997</v>
      </c>
      <c r="H42" s="353">
        <v>540834</v>
      </c>
      <c r="I42" s="651"/>
      <c r="J42" s="497">
        <v>297532</v>
      </c>
      <c r="K42" s="488">
        <v>223428</v>
      </c>
      <c r="L42" s="622">
        <v>19874</v>
      </c>
    </row>
    <row r="43" spans="1:13" ht="13.15" customHeight="1">
      <c r="A43" s="392" t="s">
        <v>521</v>
      </c>
      <c r="B43" s="353">
        <v>78625</v>
      </c>
      <c r="C43" s="353">
        <v>71427200.930000007</v>
      </c>
      <c r="D43" s="353"/>
      <c r="E43" s="650">
        <v>24683</v>
      </c>
      <c r="F43" s="353">
        <v>8885</v>
      </c>
      <c r="G43" s="353">
        <v>407989597</v>
      </c>
      <c r="H43" s="353">
        <v>33568</v>
      </c>
      <c r="I43" s="651"/>
      <c r="J43" s="497">
        <v>17650</v>
      </c>
      <c r="K43" s="497">
        <v>14943</v>
      </c>
      <c r="L43" s="624">
        <v>975</v>
      </c>
      <c r="M43" s="627"/>
    </row>
    <row r="44" spans="1:13" ht="18">
      <c r="A44" s="416" t="s">
        <v>728</v>
      </c>
      <c r="B44" s="626"/>
      <c r="C44" s="626"/>
      <c r="D44" s="626"/>
      <c r="E44" s="626"/>
      <c r="F44" s="626"/>
      <c r="G44" s="626"/>
      <c r="H44" s="626"/>
      <c r="I44" s="626"/>
      <c r="J44" s="624"/>
      <c r="K44" s="624"/>
      <c r="L44" s="624"/>
      <c r="M44" s="627"/>
    </row>
    <row r="45" spans="1:13" ht="15.75">
      <c r="A45" s="652" t="str">
        <f>A2</f>
        <v>Exemptions, Standard and Itemized Deductions, and Number of Returns by Filing Status/Locality</v>
      </c>
      <c r="B45" s="626"/>
      <c r="C45" s="626"/>
      <c r="D45" s="626"/>
      <c r="E45" s="626"/>
      <c r="F45" s="626"/>
      <c r="G45" s="626"/>
      <c r="H45" s="626"/>
      <c r="I45" s="626"/>
      <c r="J45" s="624"/>
      <c r="K45" s="624"/>
      <c r="L45" s="624"/>
    </row>
    <row r="46" spans="1:13" ht="15.75">
      <c r="A46" s="625" t="str">
        <f>A3</f>
        <v>Taxable Year 2018</v>
      </c>
      <c r="B46" s="626"/>
      <c r="C46" s="626"/>
      <c r="D46" s="626"/>
      <c r="E46" s="626"/>
      <c r="F46" s="626"/>
      <c r="G46" s="626"/>
      <c r="H46" s="626"/>
      <c r="I46" s="626"/>
      <c r="J46" s="624"/>
      <c r="K46" s="624"/>
      <c r="L46" s="624"/>
    </row>
    <row r="47" spans="1:13" ht="13.15" customHeight="1" thickBot="1">
      <c r="A47" s="627"/>
      <c r="B47" s="653">
        <f>SUM(B9:B43)</f>
        <v>2660170</v>
      </c>
      <c r="C47" s="653">
        <f t="shared" ref="C47:L47" si="0">SUM(C9:C43)</f>
        <v>2408558648.0599999</v>
      </c>
      <c r="D47" s="653">
        <f t="shared" si="0"/>
        <v>0</v>
      </c>
      <c r="E47" s="653">
        <f t="shared" si="0"/>
        <v>924351</v>
      </c>
      <c r="F47" s="653">
        <f t="shared" si="0"/>
        <v>268401</v>
      </c>
      <c r="G47" s="653">
        <f t="shared" si="0"/>
        <v>12502990037.360001</v>
      </c>
      <c r="H47" s="653">
        <f t="shared" si="0"/>
        <v>1192752</v>
      </c>
      <c r="I47" s="653">
        <f t="shared" si="0"/>
        <v>0</v>
      </c>
      <c r="J47" s="654">
        <f t="shared" si="0"/>
        <v>671867</v>
      </c>
      <c r="K47" s="654">
        <f t="shared" si="0"/>
        <v>480725</v>
      </c>
      <c r="L47" s="654">
        <f t="shared" si="0"/>
        <v>40160</v>
      </c>
    </row>
    <row r="48" spans="1:13">
      <c r="A48" s="628"/>
      <c r="B48" s="1318" t="s">
        <v>410</v>
      </c>
      <c r="C48" s="1318"/>
      <c r="D48" s="1214"/>
      <c r="E48" s="1319" t="s">
        <v>411</v>
      </c>
      <c r="F48" s="1320"/>
      <c r="G48" s="1320"/>
      <c r="H48" s="1320"/>
      <c r="I48" s="630"/>
      <c r="J48" s="631"/>
      <c r="K48" s="632" t="s">
        <v>725</v>
      </c>
      <c r="L48" s="633"/>
      <c r="M48" s="627"/>
    </row>
    <row r="49" spans="1:12" ht="13.15" customHeight="1">
      <c r="A49" s="655"/>
      <c r="B49" s="656"/>
      <c r="C49" s="656"/>
      <c r="D49" s="656"/>
      <c r="E49" s="657"/>
      <c r="F49" s="656"/>
      <c r="G49" s="656"/>
      <c r="H49" s="658" t="s">
        <v>17</v>
      </c>
      <c r="I49" s="659"/>
      <c r="J49" s="660"/>
      <c r="K49" s="641" t="s">
        <v>985</v>
      </c>
      <c r="L49" s="641" t="s">
        <v>985</v>
      </c>
    </row>
    <row r="50" spans="1:12" ht="13.15" customHeight="1">
      <c r="A50" s="411" t="s">
        <v>23</v>
      </c>
      <c r="B50" s="642" t="s">
        <v>726</v>
      </c>
      <c r="C50" s="642" t="s">
        <v>20</v>
      </c>
      <c r="D50" s="642"/>
      <c r="E50" s="643" t="s">
        <v>407</v>
      </c>
      <c r="F50" s="642" t="s">
        <v>406</v>
      </c>
      <c r="G50" s="411" t="s">
        <v>20</v>
      </c>
      <c r="H50" s="642" t="s">
        <v>404</v>
      </c>
      <c r="I50" s="644"/>
      <c r="J50" s="645" t="s">
        <v>727</v>
      </c>
      <c r="K50" s="645" t="s">
        <v>402</v>
      </c>
      <c r="L50" s="646" t="s">
        <v>984</v>
      </c>
    </row>
    <row r="51" spans="1:12" ht="10.7" customHeight="1">
      <c r="A51" s="392"/>
      <c r="B51" s="626"/>
      <c r="C51" s="626"/>
      <c r="D51" s="626"/>
      <c r="E51" s="647"/>
      <c r="F51" s="626"/>
      <c r="G51" s="626"/>
      <c r="H51" s="626"/>
      <c r="I51" s="648"/>
      <c r="J51" s="624"/>
      <c r="K51" s="624"/>
      <c r="L51" s="622"/>
    </row>
    <row r="52" spans="1:12" ht="13.15" customHeight="1">
      <c r="A52" s="391" t="s">
        <v>524</v>
      </c>
      <c r="B52" s="349">
        <v>15378</v>
      </c>
      <c r="C52" s="649">
        <v>13939320.76</v>
      </c>
      <c r="D52" s="649"/>
      <c r="E52" s="650">
        <v>6154</v>
      </c>
      <c r="F52" s="353">
        <v>375</v>
      </c>
      <c r="G52" s="649">
        <v>36629565.5</v>
      </c>
      <c r="H52" s="353">
        <v>6529</v>
      </c>
      <c r="I52" s="651"/>
      <c r="J52" s="497">
        <v>3233</v>
      </c>
      <c r="K52" s="488">
        <v>3156</v>
      </c>
      <c r="L52" s="622">
        <v>140</v>
      </c>
    </row>
    <row r="53" spans="1:12" ht="13.15" customHeight="1">
      <c r="A53" s="391" t="s">
        <v>526</v>
      </c>
      <c r="B53" s="349">
        <v>27715</v>
      </c>
      <c r="C53" s="353">
        <v>25056960.670000002</v>
      </c>
      <c r="D53" s="353"/>
      <c r="E53" s="650">
        <v>10510</v>
      </c>
      <c r="F53" s="353">
        <v>1336</v>
      </c>
      <c r="G53" s="353">
        <v>92120064.5</v>
      </c>
      <c r="H53" s="353">
        <v>11846</v>
      </c>
      <c r="I53" s="651"/>
      <c r="J53" s="497">
        <v>6146</v>
      </c>
      <c r="K53" s="488">
        <v>5328</v>
      </c>
      <c r="L53" s="622">
        <v>372</v>
      </c>
    </row>
    <row r="54" spans="1:12" ht="13.15" customHeight="1">
      <c r="A54" s="391" t="s">
        <v>529</v>
      </c>
      <c r="B54" s="349">
        <v>55340</v>
      </c>
      <c r="C54" s="353">
        <v>50039598.280000001</v>
      </c>
      <c r="D54" s="353"/>
      <c r="E54" s="650">
        <v>21419</v>
      </c>
      <c r="F54" s="353">
        <v>1993</v>
      </c>
      <c r="G54" s="353">
        <v>162826741.80000001</v>
      </c>
      <c r="H54" s="353">
        <v>23412</v>
      </c>
      <c r="I54" s="651"/>
      <c r="J54" s="497">
        <v>11978</v>
      </c>
      <c r="K54" s="488">
        <v>10764</v>
      </c>
      <c r="L54" s="622">
        <v>670</v>
      </c>
    </row>
    <row r="55" spans="1:12" ht="13.15" customHeight="1">
      <c r="A55" s="391" t="s">
        <v>531</v>
      </c>
      <c r="B55" s="349">
        <v>97179</v>
      </c>
      <c r="C55" s="353">
        <v>87966464.599999994</v>
      </c>
      <c r="D55" s="353"/>
      <c r="E55" s="650">
        <v>36118</v>
      </c>
      <c r="F55" s="353">
        <v>6021</v>
      </c>
      <c r="G55" s="353">
        <v>313662978.11000001</v>
      </c>
      <c r="H55" s="353">
        <v>42139</v>
      </c>
      <c r="I55" s="651"/>
      <c r="J55" s="497">
        <v>22707</v>
      </c>
      <c r="K55" s="488">
        <v>18178</v>
      </c>
      <c r="L55" s="622">
        <v>1254</v>
      </c>
    </row>
    <row r="56" spans="1:12" ht="13.15" customHeight="1">
      <c r="A56" s="391" t="s">
        <v>534</v>
      </c>
      <c r="B56" s="349">
        <v>16731</v>
      </c>
      <c r="C56" s="353">
        <v>15167560.189999999</v>
      </c>
      <c r="D56" s="353"/>
      <c r="E56" s="650">
        <v>6969</v>
      </c>
      <c r="F56" s="353">
        <v>314</v>
      </c>
      <c r="G56" s="353">
        <v>36960287.509999998</v>
      </c>
      <c r="H56" s="353">
        <v>7283</v>
      </c>
      <c r="I56" s="651"/>
      <c r="J56" s="497">
        <v>3914</v>
      </c>
      <c r="K56" s="488">
        <v>3186</v>
      </c>
      <c r="L56" s="622">
        <v>183</v>
      </c>
    </row>
    <row r="57" spans="1:12" ht="10.7" customHeight="1">
      <c r="A57" s="391"/>
      <c r="B57" s="349"/>
      <c r="C57" s="353"/>
      <c r="D57" s="353"/>
      <c r="E57" s="650"/>
      <c r="F57" s="353"/>
      <c r="G57" s="353"/>
      <c r="H57" s="353"/>
      <c r="I57" s="651"/>
      <c r="J57" s="497"/>
      <c r="K57" s="488"/>
      <c r="L57" s="622"/>
    </row>
    <row r="58" spans="1:12" ht="13.15" customHeight="1">
      <c r="A58" s="391" t="s">
        <v>537</v>
      </c>
      <c r="B58" s="349">
        <v>39458</v>
      </c>
      <c r="C58" s="353">
        <v>35749770.850000001</v>
      </c>
      <c r="D58" s="353"/>
      <c r="E58" s="650">
        <v>15517</v>
      </c>
      <c r="F58" s="353">
        <v>2026</v>
      </c>
      <c r="G58" s="353">
        <v>116639621.40000001</v>
      </c>
      <c r="H58" s="353">
        <v>17543</v>
      </c>
      <c r="I58" s="651"/>
      <c r="J58" s="497">
        <v>9384</v>
      </c>
      <c r="K58" s="488">
        <v>7630</v>
      </c>
      <c r="L58" s="622">
        <v>529</v>
      </c>
    </row>
    <row r="59" spans="1:12" ht="13.15" customHeight="1">
      <c r="A59" s="391" t="s">
        <v>539</v>
      </c>
      <c r="B59" s="349">
        <v>26923</v>
      </c>
      <c r="C59" s="353">
        <v>24276328.059999999</v>
      </c>
      <c r="D59" s="353"/>
      <c r="E59" s="650">
        <v>8557</v>
      </c>
      <c r="F59" s="353">
        <v>2693</v>
      </c>
      <c r="G59" s="353">
        <v>142950730.69999999</v>
      </c>
      <c r="H59" s="353">
        <v>11250</v>
      </c>
      <c r="I59" s="651"/>
      <c r="J59" s="497">
        <v>5292</v>
      </c>
      <c r="K59" s="488">
        <v>5640</v>
      </c>
      <c r="L59" s="622">
        <v>318</v>
      </c>
    </row>
    <row r="60" spans="1:12" ht="13.15" customHeight="1">
      <c r="A60" s="391" t="s">
        <v>541</v>
      </c>
      <c r="B60" s="349">
        <v>14761</v>
      </c>
      <c r="C60" s="353">
        <v>13372500.390000001</v>
      </c>
      <c r="D60" s="353"/>
      <c r="E60" s="650">
        <v>6177</v>
      </c>
      <c r="F60" s="353">
        <v>280</v>
      </c>
      <c r="G60" s="353">
        <v>36344205</v>
      </c>
      <c r="H60" s="353">
        <v>6457</v>
      </c>
      <c r="I60" s="651"/>
      <c r="J60" s="497">
        <v>3287</v>
      </c>
      <c r="K60" s="488">
        <v>2962</v>
      </c>
      <c r="L60" s="622">
        <v>208</v>
      </c>
    </row>
    <row r="61" spans="1:12" ht="13.15" customHeight="1">
      <c r="A61" s="391" t="s">
        <v>544</v>
      </c>
      <c r="B61" s="349">
        <v>20359</v>
      </c>
      <c r="C61" s="353">
        <v>18467311.969999999</v>
      </c>
      <c r="D61" s="353"/>
      <c r="E61" s="650">
        <v>7800</v>
      </c>
      <c r="F61" s="353">
        <v>955</v>
      </c>
      <c r="G61" s="353">
        <v>56227626.600000001</v>
      </c>
      <c r="H61" s="353">
        <v>8755</v>
      </c>
      <c r="I61" s="651"/>
      <c r="J61" s="497">
        <v>4655</v>
      </c>
      <c r="K61" s="488">
        <v>3835</v>
      </c>
      <c r="L61" s="622">
        <v>265</v>
      </c>
    </row>
    <row r="62" spans="1:12" ht="13.15" customHeight="1">
      <c r="A62" s="391" t="s">
        <v>547</v>
      </c>
      <c r="B62" s="349">
        <v>11416</v>
      </c>
      <c r="C62" s="353">
        <v>10434997.73</v>
      </c>
      <c r="D62" s="353"/>
      <c r="E62" s="650">
        <v>4633</v>
      </c>
      <c r="F62" s="353">
        <v>505</v>
      </c>
      <c r="G62" s="353">
        <v>33480993.800000001</v>
      </c>
      <c r="H62" s="353">
        <v>5138</v>
      </c>
      <c r="I62" s="651"/>
      <c r="J62" s="497">
        <v>3441</v>
      </c>
      <c r="K62" s="488">
        <v>1449</v>
      </c>
      <c r="L62" s="622">
        <v>248</v>
      </c>
    </row>
    <row r="63" spans="1:12" ht="10.7" customHeight="1">
      <c r="A63" s="391"/>
      <c r="B63" s="349"/>
      <c r="C63" s="353"/>
      <c r="D63" s="353"/>
      <c r="E63" s="650"/>
      <c r="F63" s="353"/>
      <c r="G63" s="353"/>
      <c r="H63" s="353"/>
      <c r="I63" s="651"/>
      <c r="J63" s="497"/>
      <c r="K63" s="488"/>
      <c r="L63" s="622"/>
    </row>
    <row r="64" spans="1:12" ht="13.15" customHeight="1">
      <c r="A64" s="391" t="s">
        <v>423</v>
      </c>
      <c r="B64" s="349">
        <v>33215</v>
      </c>
      <c r="C64" s="353">
        <v>30203513.969999999</v>
      </c>
      <c r="D64" s="353"/>
      <c r="E64" s="650">
        <v>13819</v>
      </c>
      <c r="F64" s="353">
        <v>805</v>
      </c>
      <c r="G64" s="353">
        <v>78372711.299999997</v>
      </c>
      <c r="H64" s="353">
        <v>14624</v>
      </c>
      <c r="I64" s="651"/>
      <c r="J64" s="497">
        <v>8843</v>
      </c>
      <c r="K64" s="488">
        <v>5255</v>
      </c>
      <c r="L64" s="622">
        <v>526</v>
      </c>
    </row>
    <row r="65" spans="1:12" ht="13.15" customHeight="1">
      <c r="A65" s="391" t="s">
        <v>427</v>
      </c>
      <c r="B65" s="349">
        <v>119815</v>
      </c>
      <c r="C65" s="353">
        <v>108891389.62</v>
      </c>
      <c r="D65" s="353"/>
      <c r="E65" s="650">
        <v>42240</v>
      </c>
      <c r="F65" s="353">
        <v>8881</v>
      </c>
      <c r="G65" s="497">
        <v>415867098</v>
      </c>
      <c r="H65" s="353">
        <v>51121</v>
      </c>
      <c r="I65" s="651"/>
      <c r="J65" s="497">
        <v>26527</v>
      </c>
      <c r="K65" s="488">
        <v>23305</v>
      </c>
      <c r="L65" s="622">
        <v>1289</v>
      </c>
    </row>
    <row r="66" spans="1:12" ht="13.15" customHeight="1">
      <c r="A66" s="391" t="s">
        <v>431</v>
      </c>
      <c r="B66" s="349">
        <v>337716</v>
      </c>
      <c r="C66" s="353">
        <v>306383797.81999999</v>
      </c>
      <c r="D66" s="353"/>
      <c r="E66" s="650">
        <v>129816</v>
      </c>
      <c r="F66" s="353">
        <v>25156</v>
      </c>
      <c r="G66" s="353">
        <v>1228322587.5</v>
      </c>
      <c r="H66" s="353">
        <v>154972</v>
      </c>
      <c r="I66" s="651"/>
      <c r="J66" s="497">
        <v>96458</v>
      </c>
      <c r="K66" s="488">
        <v>53792</v>
      </c>
      <c r="L66" s="622">
        <v>4722</v>
      </c>
    </row>
    <row r="67" spans="1:12" ht="13.15" customHeight="1">
      <c r="A67" s="391" t="s">
        <v>435</v>
      </c>
      <c r="B67" s="349">
        <v>50114</v>
      </c>
      <c r="C67" s="353">
        <v>45604786.130000003</v>
      </c>
      <c r="D67" s="353"/>
      <c r="E67" s="650">
        <v>21226</v>
      </c>
      <c r="F67" s="353">
        <v>1024</v>
      </c>
      <c r="G67" s="353">
        <v>118777458.2</v>
      </c>
      <c r="H67" s="353">
        <v>22250</v>
      </c>
      <c r="I67" s="651"/>
      <c r="J67" s="497">
        <v>13277</v>
      </c>
      <c r="K67" s="488">
        <v>8249</v>
      </c>
      <c r="L67" s="622">
        <v>724</v>
      </c>
    </row>
    <row r="68" spans="1:12" ht="13.15" customHeight="1">
      <c r="A68" s="391" t="s">
        <v>439</v>
      </c>
      <c r="B68" s="349">
        <v>2533</v>
      </c>
      <c r="C68" s="353">
        <v>2271650.14</v>
      </c>
      <c r="D68" s="353"/>
      <c r="E68" s="650">
        <v>956</v>
      </c>
      <c r="F68" s="353">
        <v>75</v>
      </c>
      <c r="G68" s="353">
        <v>7374115.5999999996</v>
      </c>
      <c r="H68" s="353">
        <v>1031</v>
      </c>
      <c r="I68" s="651"/>
      <c r="J68" s="497">
        <v>463</v>
      </c>
      <c r="K68" s="488">
        <v>547</v>
      </c>
      <c r="L68" s="661">
        <v>21</v>
      </c>
    </row>
    <row r="69" spans="1:12" ht="10.7" customHeight="1">
      <c r="A69" s="391"/>
      <c r="B69" s="349"/>
      <c r="C69" s="353"/>
      <c r="D69" s="353"/>
      <c r="E69" s="650"/>
      <c r="F69" s="353"/>
      <c r="G69" s="353"/>
      <c r="H69" s="353"/>
      <c r="I69" s="651"/>
      <c r="J69" s="497"/>
      <c r="K69" s="488"/>
      <c r="L69" s="661"/>
    </row>
    <row r="70" spans="1:12" ht="13.15" customHeight="1">
      <c r="A70" s="391" t="s">
        <v>443</v>
      </c>
      <c r="B70" s="349">
        <v>39533</v>
      </c>
      <c r="C70" s="353">
        <v>35825748.799999997</v>
      </c>
      <c r="D70" s="353"/>
      <c r="E70" s="650">
        <v>14013</v>
      </c>
      <c r="F70" s="353">
        <v>3016</v>
      </c>
      <c r="G70" s="353">
        <v>136911004.80000001</v>
      </c>
      <c r="H70" s="353">
        <v>17029</v>
      </c>
      <c r="I70" s="651"/>
      <c r="J70" s="497">
        <v>8863</v>
      </c>
      <c r="K70" s="488">
        <v>7555</v>
      </c>
      <c r="L70" s="622">
        <v>611</v>
      </c>
    </row>
    <row r="71" spans="1:12" ht="13.15" customHeight="1">
      <c r="A71" s="391" t="s">
        <v>447</v>
      </c>
      <c r="B71" s="349">
        <v>88619</v>
      </c>
      <c r="C71" s="353">
        <v>79152798.200000003</v>
      </c>
      <c r="D71" s="353"/>
      <c r="E71" s="650">
        <v>28376</v>
      </c>
      <c r="F71" s="353">
        <v>7818</v>
      </c>
      <c r="G71" s="353">
        <v>363829811.30000001</v>
      </c>
      <c r="H71" s="353">
        <v>36194</v>
      </c>
      <c r="I71" s="651"/>
      <c r="J71" s="497">
        <v>18147</v>
      </c>
      <c r="K71" s="488">
        <v>16920</v>
      </c>
      <c r="L71" s="622">
        <v>1127</v>
      </c>
    </row>
    <row r="72" spans="1:12" ht="13.15" customHeight="1">
      <c r="A72" s="391" t="s">
        <v>451</v>
      </c>
      <c r="B72" s="349">
        <v>7078</v>
      </c>
      <c r="C72" s="353">
        <v>6430696</v>
      </c>
      <c r="D72" s="353"/>
      <c r="E72" s="650">
        <v>2925</v>
      </c>
      <c r="F72" s="353">
        <v>270</v>
      </c>
      <c r="G72" s="353">
        <v>19377297.300000001</v>
      </c>
      <c r="H72" s="353">
        <v>3195</v>
      </c>
      <c r="I72" s="651"/>
      <c r="J72" s="497">
        <v>1852</v>
      </c>
      <c r="K72" s="488">
        <v>1236</v>
      </c>
      <c r="L72" s="622">
        <v>107</v>
      </c>
    </row>
    <row r="73" spans="1:12" ht="13.15" customHeight="1">
      <c r="A73" s="391" t="s">
        <v>455</v>
      </c>
      <c r="B73" s="349">
        <v>27443</v>
      </c>
      <c r="C73" s="353">
        <v>24882736.260000002</v>
      </c>
      <c r="D73" s="353"/>
      <c r="E73" s="650">
        <v>9430</v>
      </c>
      <c r="F73" s="353">
        <v>2304</v>
      </c>
      <c r="G73" s="353">
        <v>93572642.200000003</v>
      </c>
      <c r="H73" s="353">
        <v>11734</v>
      </c>
      <c r="I73" s="651"/>
      <c r="J73" s="497">
        <v>6161</v>
      </c>
      <c r="K73" s="488">
        <v>5054</v>
      </c>
      <c r="L73" s="622">
        <v>519</v>
      </c>
    </row>
    <row r="74" spans="1:12" ht="13.15" customHeight="1">
      <c r="A74" s="391" t="s">
        <v>459</v>
      </c>
      <c r="B74" s="349">
        <v>18343</v>
      </c>
      <c r="C74" s="353">
        <v>16746060.85</v>
      </c>
      <c r="D74" s="353"/>
      <c r="E74" s="650">
        <v>7202</v>
      </c>
      <c r="F74" s="353">
        <v>846</v>
      </c>
      <c r="G74" s="353">
        <v>60000620.299999997</v>
      </c>
      <c r="H74" s="353">
        <v>8048</v>
      </c>
      <c r="I74" s="651"/>
      <c r="J74" s="497">
        <v>4297</v>
      </c>
      <c r="K74" s="488">
        <v>3471</v>
      </c>
      <c r="L74" s="622">
        <v>280</v>
      </c>
    </row>
    <row r="75" spans="1:12" ht="10.7" customHeight="1">
      <c r="A75" s="408"/>
      <c r="B75" s="349"/>
      <c r="C75" s="353"/>
      <c r="D75" s="353"/>
      <c r="E75" s="650"/>
      <c r="F75" s="353"/>
      <c r="G75" s="353"/>
      <c r="H75" s="353"/>
      <c r="I75" s="651"/>
      <c r="J75" s="497"/>
      <c r="K75" s="488"/>
      <c r="L75" s="622"/>
    </row>
    <row r="76" spans="1:12" ht="13.15" customHeight="1">
      <c r="A76" s="391" t="s">
        <v>463</v>
      </c>
      <c r="B76" s="349">
        <v>12806</v>
      </c>
      <c r="C76" s="353">
        <v>11443890.640000001</v>
      </c>
      <c r="D76" s="353"/>
      <c r="E76" s="650">
        <v>4319</v>
      </c>
      <c r="F76" s="353">
        <v>1027</v>
      </c>
      <c r="G76" s="353">
        <v>58534625.799999997</v>
      </c>
      <c r="H76" s="353">
        <v>5346</v>
      </c>
      <c r="I76" s="651"/>
      <c r="J76" s="497">
        <v>3054</v>
      </c>
      <c r="K76" s="488">
        <v>2142</v>
      </c>
      <c r="L76" s="622">
        <v>150</v>
      </c>
    </row>
    <row r="77" spans="1:12" ht="13.15" customHeight="1">
      <c r="A77" s="391" t="s">
        <v>467</v>
      </c>
      <c r="B77" s="349">
        <v>18126</v>
      </c>
      <c r="C77" s="353">
        <v>16509553.92</v>
      </c>
      <c r="D77" s="353"/>
      <c r="E77" s="650">
        <v>7458</v>
      </c>
      <c r="F77" s="353">
        <v>203</v>
      </c>
      <c r="G77" s="353">
        <v>40832924.100000001</v>
      </c>
      <c r="H77" s="353">
        <v>7661</v>
      </c>
      <c r="I77" s="651"/>
      <c r="J77" s="497">
        <v>3997</v>
      </c>
      <c r="K77" s="488">
        <v>3434</v>
      </c>
      <c r="L77" s="622">
        <v>230</v>
      </c>
    </row>
    <row r="78" spans="1:12" ht="13.15" customHeight="1">
      <c r="A78" s="391" t="s">
        <v>471</v>
      </c>
      <c r="B78" s="349">
        <v>446566</v>
      </c>
      <c r="C78" s="353">
        <v>406779769.85000002</v>
      </c>
      <c r="D78" s="353"/>
      <c r="E78" s="650">
        <v>118497</v>
      </c>
      <c r="F78" s="353">
        <v>64848</v>
      </c>
      <c r="G78" s="353">
        <v>2470104691.1399999</v>
      </c>
      <c r="H78" s="353">
        <v>183345</v>
      </c>
      <c r="I78" s="651"/>
      <c r="J78" s="497">
        <v>89179</v>
      </c>
      <c r="K78" s="488">
        <v>88316</v>
      </c>
      <c r="L78" s="622">
        <v>5850</v>
      </c>
    </row>
    <row r="79" spans="1:12" ht="13.15" customHeight="1">
      <c r="A79" s="391" t="s">
        <v>475</v>
      </c>
      <c r="B79" s="349">
        <v>36800</v>
      </c>
      <c r="C79" s="353">
        <v>33387058.190000001</v>
      </c>
      <c r="D79" s="353"/>
      <c r="E79" s="650">
        <v>14152</v>
      </c>
      <c r="F79" s="353">
        <v>1929</v>
      </c>
      <c r="G79" s="353">
        <v>123720038.5</v>
      </c>
      <c r="H79" s="353">
        <v>16081</v>
      </c>
      <c r="I79" s="651"/>
      <c r="J79" s="497">
        <v>8644</v>
      </c>
      <c r="K79" s="488">
        <v>6933</v>
      </c>
      <c r="L79" s="622">
        <v>504</v>
      </c>
    </row>
    <row r="80" spans="1:12" ht="13.15" customHeight="1">
      <c r="A80" s="391" t="s">
        <v>479</v>
      </c>
      <c r="B80" s="349">
        <v>10267</v>
      </c>
      <c r="C80" s="353">
        <v>9302261.5600000005</v>
      </c>
      <c r="D80" s="353"/>
      <c r="E80" s="650">
        <v>4184</v>
      </c>
      <c r="F80" s="353">
        <v>260</v>
      </c>
      <c r="G80" s="353">
        <v>25501031</v>
      </c>
      <c r="H80" s="353">
        <v>4444</v>
      </c>
      <c r="I80" s="651"/>
      <c r="J80" s="497">
        <v>2648</v>
      </c>
      <c r="K80" s="488">
        <v>1663</v>
      </c>
      <c r="L80" s="622">
        <v>133</v>
      </c>
    </row>
    <row r="81" spans="1:13" ht="10.7" customHeight="1">
      <c r="A81" s="391"/>
      <c r="B81" s="349"/>
      <c r="C81" s="353"/>
      <c r="D81" s="353"/>
      <c r="E81" s="650"/>
      <c r="F81" s="353"/>
      <c r="G81" s="353"/>
      <c r="H81" s="353"/>
      <c r="I81" s="651"/>
      <c r="J81" s="497"/>
      <c r="K81" s="488"/>
      <c r="L81" s="622"/>
    </row>
    <row r="82" spans="1:13" ht="13.15" customHeight="1">
      <c r="A82" s="391" t="s">
        <v>483</v>
      </c>
      <c r="B82" s="349">
        <v>13562</v>
      </c>
      <c r="C82" s="353">
        <v>12282923.439999999</v>
      </c>
      <c r="D82" s="353"/>
      <c r="E82" s="650">
        <v>5137</v>
      </c>
      <c r="F82" s="353">
        <v>633</v>
      </c>
      <c r="G82" s="353">
        <v>40187564</v>
      </c>
      <c r="H82" s="353">
        <v>5770</v>
      </c>
      <c r="I82" s="651"/>
      <c r="J82" s="497">
        <v>2989</v>
      </c>
      <c r="K82" s="488">
        <v>2644</v>
      </c>
      <c r="L82" s="622">
        <v>137</v>
      </c>
    </row>
    <row r="83" spans="1:13" ht="13.15" customHeight="1">
      <c r="A83" s="391" t="s">
        <v>485</v>
      </c>
      <c r="B83" s="349">
        <v>9708</v>
      </c>
      <c r="C83" s="353">
        <v>8724192.9499999993</v>
      </c>
      <c r="D83" s="353"/>
      <c r="E83" s="650">
        <v>3571</v>
      </c>
      <c r="F83" s="353">
        <v>500</v>
      </c>
      <c r="G83" s="353">
        <v>31657053.600000001</v>
      </c>
      <c r="H83" s="353">
        <v>4071</v>
      </c>
      <c r="I83" s="651"/>
      <c r="J83" s="497">
        <v>2058</v>
      </c>
      <c r="K83" s="488">
        <v>1898</v>
      </c>
      <c r="L83" s="622">
        <v>115</v>
      </c>
    </row>
    <row r="84" spans="1:13" ht="13.15" customHeight="1">
      <c r="A84" s="391" t="s">
        <v>488</v>
      </c>
      <c r="B84" s="349">
        <v>31557</v>
      </c>
      <c r="C84" s="353">
        <v>28585126.66</v>
      </c>
      <c r="D84" s="353"/>
      <c r="E84" s="650">
        <v>12656</v>
      </c>
      <c r="F84" s="353">
        <v>1090</v>
      </c>
      <c r="G84" s="353">
        <v>81252600.5</v>
      </c>
      <c r="H84" s="353">
        <v>13746</v>
      </c>
      <c r="I84" s="651"/>
      <c r="J84" s="497">
        <v>8254</v>
      </c>
      <c r="K84" s="488">
        <v>5021</v>
      </c>
      <c r="L84" s="622">
        <v>471</v>
      </c>
    </row>
    <row r="85" spans="1:13" ht="13.15" customHeight="1">
      <c r="A85" s="392" t="s">
        <v>491</v>
      </c>
      <c r="B85" s="353">
        <v>11457</v>
      </c>
      <c r="C85" s="353">
        <v>10308751.02</v>
      </c>
      <c r="D85" s="353"/>
      <c r="E85" s="650">
        <v>4319</v>
      </c>
      <c r="F85" s="353">
        <v>602</v>
      </c>
      <c r="G85" s="497">
        <v>38088369.299999997</v>
      </c>
      <c r="H85" s="353">
        <v>4921</v>
      </c>
      <c r="I85" s="651"/>
      <c r="J85" s="497">
        <v>2713</v>
      </c>
      <c r="K85" s="497">
        <v>2085</v>
      </c>
      <c r="L85" s="624">
        <v>123</v>
      </c>
    </row>
    <row r="86" spans="1:13" ht="13.15" customHeight="1">
      <c r="A86" s="392" t="s">
        <v>494</v>
      </c>
      <c r="B86" s="353">
        <v>79172</v>
      </c>
      <c r="C86" s="353">
        <v>71489016.370000005</v>
      </c>
      <c r="D86" s="353"/>
      <c r="E86" s="650">
        <v>33522</v>
      </c>
      <c r="F86" s="353">
        <v>4395</v>
      </c>
      <c r="G86" s="353">
        <v>239978301.22</v>
      </c>
      <c r="H86" s="353">
        <v>37917</v>
      </c>
      <c r="I86" s="651"/>
      <c r="J86" s="497">
        <v>22432</v>
      </c>
      <c r="K86" s="497">
        <v>14242</v>
      </c>
      <c r="L86" s="624">
        <v>1243</v>
      </c>
      <c r="M86" s="627"/>
    </row>
    <row r="87" spans="1:13" ht="18">
      <c r="A87" s="416" t="s">
        <v>728</v>
      </c>
      <c r="B87" s="626"/>
      <c r="C87" s="626"/>
      <c r="D87" s="626"/>
      <c r="E87" s="626"/>
      <c r="F87" s="626"/>
      <c r="G87" s="626"/>
      <c r="H87" s="626"/>
      <c r="I87" s="626"/>
      <c r="J87" s="624"/>
      <c r="K87" s="624"/>
      <c r="L87" s="624"/>
      <c r="M87" s="627"/>
    </row>
    <row r="88" spans="1:13" ht="15.75">
      <c r="A88" s="652" t="str">
        <f>A45</f>
        <v>Exemptions, Standard and Itemized Deductions, and Number of Returns by Filing Status/Locality</v>
      </c>
      <c r="B88" s="626"/>
      <c r="C88" s="626"/>
      <c r="D88" s="626"/>
      <c r="E88" s="626"/>
      <c r="F88" s="626"/>
      <c r="G88" s="626"/>
      <c r="H88" s="626"/>
      <c r="I88" s="626"/>
      <c r="J88" s="624"/>
      <c r="K88" s="624"/>
      <c r="L88" s="624"/>
    </row>
    <row r="89" spans="1:13" ht="15.75">
      <c r="A89" s="625" t="str">
        <f>A46</f>
        <v>Taxable Year 2018</v>
      </c>
      <c r="B89" s="626"/>
      <c r="C89" s="626"/>
      <c r="D89" s="626"/>
      <c r="E89" s="626"/>
      <c r="F89" s="626"/>
      <c r="G89" s="626"/>
      <c r="H89" s="626"/>
      <c r="I89" s="626"/>
      <c r="J89" s="654"/>
      <c r="K89" s="654"/>
      <c r="L89" s="654"/>
    </row>
    <row r="90" spans="1:13" ht="13.15" customHeight="1" thickBot="1">
      <c r="A90" s="432"/>
      <c r="B90" s="653">
        <f t="shared" ref="B90:I90" si="1">SUM(B52:B86)</f>
        <v>1719690</v>
      </c>
      <c r="C90" s="653">
        <f t="shared" si="1"/>
        <v>1559676535.8900003</v>
      </c>
      <c r="D90" s="653">
        <f t="shared" si="1"/>
        <v>0</v>
      </c>
      <c r="E90" s="653">
        <f t="shared" si="1"/>
        <v>601672</v>
      </c>
      <c r="F90" s="653">
        <f t="shared" si="1"/>
        <v>142180</v>
      </c>
      <c r="G90" s="653">
        <f t="shared" si="1"/>
        <v>6700105360.5800018</v>
      </c>
      <c r="H90" s="653">
        <f t="shared" si="1"/>
        <v>743852</v>
      </c>
      <c r="I90" s="653">
        <f t="shared" si="1"/>
        <v>0</v>
      </c>
      <c r="J90" s="654">
        <f>SUM(J52:J86)</f>
        <v>404893</v>
      </c>
      <c r="K90" s="654">
        <f>SUM(K52:K86)</f>
        <v>315890</v>
      </c>
      <c r="L90" s="654">
        <f>SUM(L52:L86)</f>
        <v>23069</v>
      </c>
    </row>
    <row r="91" spans="1:13">
      <c r="A91" s="628"/>
      <c r="B91" s="1318" t="s">
        <v>410</v>
      </c>
      <c r="C91" s="1318"/>
      <c r="D91" s="1214"/>
      <c r="E91" s="1319" t="s">
        <v>411</v>
      </c>
      <c r="F91" s="1320"/>
      <c r="G91" s="1320"/>
      <c r="H91" s="1320"/>
      <c r="I91" s="630"/>
      <c r="J91" s="631"/>
      <c r="K91" s="632" t="s">
        <v>725</v>
      </c>
      <c r="L91" s="633"/>
      <c r="M91" s="627"/>
    </row>
    <row r="92" spans="1:13" ht="13.15" customHeight="1">
      <c r="A92" s="655"/>
      <c r="B92" s="656"/>
      <c r="C92" s="656"/>
      <c r="D92" s="656"/>
      <c r="E92" s="657"/>
      <c r="F92" s="656"/>
      <c r="G92" s="656"/>
      <c r="H92" s="658" t="s">
        <v>17</v>
      </c>
      <c r="I92" s="659"/>
      <c r="J92" s="660"/>
      <c r="K92" s="641" t="s">
        <v>985</v>
      </c>
      <c r="L92" s="641" t="s">
        <v>985</v>
      </c>
    </row>
    <row r="93" spans="1:13" ht="13.15" customHeight="1">
      <c r="A93" s="411" t="s">
        <v>23</v>
      </c>
      <c r="B93" s="642" t="s">
        <v>726</v>
      </c>
      <c r="C93" s="642" t="s">
        <v>20</v>
      </c>
      <c r="D93" s="642"/>
      <c r="E93" s="643" t="s">
        <v>407</v>
      </c>
      <c r="F93" s="642" t="s">
        <v>406</v>
      </c>
      <c r="G93" s="642" t="s">
        <v>20</v>
      </c>
      <c r="H93" s="642" t="s">
        <v>404</v>
      </c>
      <c r="I93" s="644"/>
      <c r="J93" s="645" t="s">
        <v>727</v>
      </c>
      <c r="K93" s="645" t="s">
        <v>402</v>
      </c>
      <c r="L93" s="646" t="s">
        <v>984</v>
      </c>
    </row>
    <row r="94" spans="1:13" ht="10.7" customHeight="1">
      <c r="A94" s="392"/>
      <c r="B94" s="658"/>
      <c r="C94" s="658"/>
      <c r="D94" s="658"/>
      <c r="E94" s="662"/>
      <c r="F94" s="658"/>
      <c r="G94" s="658"/>
      <c r="H94" s="658"/>
      <c r="I94" s="659"/>
      <c r="J94" s="660"/>
      <c r="K94" s="660"/>
      <c r="L94" s="622"/>
    </row>
    <row r="95" spans="1:13" ht="13.15" customHeight="1">
      <c r="A95" s="391" t="s">
        <v>496</v>
      </c>
      <c r="B95" s="349">
        <v>16614</v>
      </c>
      <c r="C95" s="649">
        <v>14974507.890000001</v>
      </c>
      <c r="D95" s="649"/>
      <c r="E95" s="650">
        <v>6419</v>
      </c>
      <c r="F95" s="353">
        <v>776</v>
      </c>
      <c r="G95" s="649">
        <v>49300472.700000003</v>
      </c>
      <c r="H95" s="353">
        <v>7195</v>
      </c>
      <c r="I95" s="651"/>
      <c r="J95" s="497">
        <v>3919</v>
      </c>
      <c r="K95" s="488">
        <v>3083</v>
      </c>
      <c r="L95" s="622">
        <v>193</v>
      </c>
    </row>
    <row r="96" spans="1:13" ht="13.15" customHeight="1">
      <c r="A96" s="391" t="s">
        <v>499</v>
      </c>
      <c r="B96" s="349">
        <v>24413</v>
      </c>
      <c r="C96" s="353">
        <v>22114297.93</v>
      </c>
      <c r="D96" s="353"/>
      <c r="E96" s="650">
        <v>8510</v>
      </c>
      <c r="F96" s="353">
        <v>1791</v>
      </c>
      <c r="G96" s="353">
        <v>88885308.599999994</v>
      </c>
      <c r="H96" s="353">
        <v>10301</v>
      </c>
      <c r="I96" s="651"/>
      <c r="J96" s="497">
        <v>4861</v>
      </c>
      <c r="K96" s="488">
        <v>5104</v>
      </c>
      <c r="L96" s="622">
        <v>336</v>
      </c>
    </row>
    <row r="97" spans="1:12" ht="13.15" customHeight="1">
      <c r="A97" s="391" t="s">
        <v>501</v>
      </c>
      <c r="B97" s="349">
        <v>12655</v>
      </c>
      <c r="C97" s="353">
        <v>11348404.85</v>
      </c>
      <c r="D97" s="353"/>
      <c r="E97" s="650">
        <v>5045</v>
      </c>
      <c r="F97" s="353">
        <v>600</v>
      </c>
      <c r="G97" s="353">
        <v>42837500.299999997</v>
      </c>
      <c r="H97" s="353">
        <v>5645</v>
      </c>
      <c r="I97" s="651"/>
      <c r="J97" s="497">
        <v>3570</v>
      </c>
      <c r="K97" s="488">
        <v>1925</v>
      </c>
      <c r="L97" s="622">
        <v>150</v>
      </c>
    </row>
    <row r="98" spans="1:12" ht="13.15" customHeight="1">
      <c r="A98" s="391" t="s">
        <v>504</v>
      </c>
      <c r="B98" s="349">
        <v>14214</v>
      </c>
      <c r="C98" s="353">
        <v>12678694.76</v>
      </c>
      <c r="D98" s="353"/>
      <c r="E98" s="650">
        <v>4839</v>
      </c>
      <c r="F98" s="353">
        <v>880</v>
      </c>
      <c r="G98" s="353">
        <v>46321041.899999999</v>
      </c>
      <c r="H98" s="353">
        <v>5719</v>
      </c>
      <c r="I98" s="651"/>
      <c r="J98" s="497">
        <v>3019</v>
      </c>
      <c r="K98" s="488">
        <v>2513</v>
      </c>
      <c r="L98" s="622">
        <v>187</v>
      </c>
    </row>
    <row r="99" spans="1:12" ht="13.15" customHeight="1">
      <c r="A99" s="391" t="s">
        <v>507</v>
      </c>
      <c r="B99" s="349">
        <v>13050</v>
      </c>
      <c r="C99" s="353">
        <v>11881729</v>
      </c>
      <c r="D99" s="353"/>
      <c r="E99" s="650">
        <v>5338</v>
      </c>
      <c r="F99" s="353">
        <v>381</v>
      </c>
      <c r="G99" s="353">
        <v>34970677.700000003</v>
      </c>
      <c r="H99" s="353">
        <v>5719</v>
      </c>
      <c r="I99" s="651"/>
      <c r="J99" s="497">
        <v>3578</v>
      </c>
      <c r="K99" s="488">
        <v>1982</v>
      </c>
      <c r="L99" s="622">
        <v>159</v>
      </c>
    </row>
    <row r="100" spans="1:12" ht="10.7" customHeight="1">
      <c r="A100" s="391"/>
      <c r="B100" s="349"/>
      <c r="C100" s="353"/>
      <c r="D100" s="353"/>
      <c r="E100" s="650"/>
      <c r="F100" s="353"/>
      <c r="G100" s="353"/>
      <c r="H100" s="353"/>
      <c r="I100" s="651"/>
      <c r="J100" s="497"/>
      <c r="K100" s="488"/>
      <c r="L100" s="622"/>
    </row>
    <row r="101" spans="1:12" ht="13.15" customHeight="1">
      <c r="A101" s="391" t="s">
        <v>510</v>
      </c>
      <c r="B101" s="349">
        <v>39121</v>
      </c>
      <c r="C101" s="353">
        <v>35389574.530000001</v>
      </c>
      <c r="D101" s="353"/>
      <c r="E101" s="650">
        <v>14568</v>
      </c>
      <c r="F101" s="353">
        <v>2312</v>
      </c>
      <c r="G101" s="353">
        <v>130874234.59999999</v>
      </c>
      <c r="H101" s="353">
        <v>16880</v>
      </c>
      <c r="I101" s="651"/>
      <c r="J101" s="497">
        <v>9208</v>
      </c>
      <c r="K101" s="488">
        <v>7159</v>
      </c>
      <c r="L101" s="622">
        <v>513</v>
      </c>
    </row>
    <row r="102" spans="1:12" ht="13.15" customHeight="1">
      <c r="A102" s="391" t="s">
        <v>513</v>
      </c>
      <c r="B102" s="349">
        <v>24054</v>
      </c>
      <c r="C102" s="353">
        <v>21860436.66</v>
      </c>
      <c r="D102" s="353"/>
      <c r="E102" s="650">
        <v>10047</v>
      </c>
      <c r="F102" s="353">
        <v>654</v>
      </c>
      <c r="G102" s="353">
        <v>60042890.600000001</v>
      </c>
      <c r="H102" s="353">
        <v>10701</v>
      </c>
      <c r="I102" s="651"/>
      <c r="J102" s="497">
        <v>6063</v>
      </c>
      <c r="K102" s="488">
        <v>4413</v>
      </c>
      <c r="L102" s="622">
        <v>225</v>
      </c>
    </row>
    <row r="103" spans="1:12" ht="13.15" customHeight="1">
      <c r="A103" s="391" t="s">
        <v>516</v>
      </c>
      <c r="B103" s="349">
        <v>16124</v>
      </c>
      <c r="C103" s="353">
        <v>14629187.15</v>
      </c>
      <c r="D103" s="353"/>
      <c r="E103" s="650">
        <v>6673</v>
      </c>
      <c r="F103" s="353">
        <v>299</v>
      </c>
      <c r="G103" s="353">
        <v>37296315.299999997</v>
      </c>
      <c r="H103" s="353">
        <v>6972</v>
      </c>
      <c r="I103" s="651"/>
      <c r="J103" s="497">
        <v>3654</v>
      </c>
      <c r="K103" s="488">
        <v>3138</v>
      </c>
      <c r="L103" s="622">
        <v>180</v>
      </c>
    </row>
    <row r="104" spans="1:12" ht="13.15" customHeight="1">
      <c r="A104" s="391" t="s">
        <v>519</v>
      </c>
      <c r="B104" s="349">
        <v>60443</v>
      </c>
      <c r="C104" s="353">
        <v>54953643.810000002</v>
      </c>
      <c r="D104" s="353"/>
      <c r="E104" s="650">
        <v>24648</v>
      </c>
      <c r="F104" s="353">
        <v>1670</v>
      </c>
      <c r="G104" s="353">
        <v>156162606</v>
      </c>
      <c r="H104" s="353">
        <v>26318</v>
      </c>
      <c r="I104" s="651"/>
      <c r="J104" s="497">
        <v>14646</v>
      </c>
      <c r="K104" s="488">
        <v>10836</v>
      </c>
      <c r="L104" s="622">
        <v>836</v>
      </c>
    </row>
    <row r="105" spans="1:12" ht="13.15" customHeight="1">
      <c r="A105" s="391" t="s">
        <v>522</v>
      </c>
      <c r="B105" s="349">
        <v>32384</v>
      </c>
      <c r="C105" s="353">
        <v>29375841.809999999</v>
      </c>
      <c r="D105" s="353"/>
      <c r="E105" s="650">
        <v>10898</v>
      </c>
      <c r="F105" s="353">
        <v>2448</v>
      </c>
      <c r="G105" s="353">
        <v>112900652.40000001</v>
      </c>
      <c r="H105" s="353">
        <v>13346</v>
      </c>
      <c r="I105" s="651"/>
      <c r="J105" s="497">
        <v>6198</v>
      </c>
      <c r="K105" s="488">
        <v>6788</v>
      </c>
      <c r="L105" s="622">
        <v>360</v>
      </c>
    </row>
    <row r="106" spans="1:12" ht="10.7" customHeight="1">
      <c r="A106" s="391"/>
      <c r="B106" s="349"/>
      <c r="C106" s="353"/>
      <c r="D106" s="353"/>
      <c r="E106" s="650"/>
      <c r="F106" s="353"/>
      <c r="G106" s="353"/>
      <c r="H106" s="353"/>
      <c r="I106" s="651"/>
      <c r="J106" s="497"/>
      <c r="K106" s="488"/>
      <c r="L106" s="622"/>
    </row>
    <row r="107" spans="1:12" ht="13.15" customHeight="1">
      <c r="A107" s="391" t="s">
        <v>525</v>
      </c>
      <c r="B107" s="349">
        <v>17040</v>
      </c>
      <c r="C107" s="353">
        <v>15431108.710000001</v>
      </c>
      <c r="D107" s="353"/>
      <c r="E107" s="650">
        <v>7104</v>
      </c>
      <c r="F107" s="353">
        <v>608</v>
      </c>
      <c r="G107" s="353">
        <v>44837635.600000001</v>
      </c>
      <c r="H107" s="353">
        <v>7712</v>
      </c>
      <c r="I107" s="651"/>
      <c r="J107" s="497">
        <v>4841</v>
      </c>
      <c r="K107" s="488">
        <v>2617</v>
      </c>
      <c r="L107" s="622">
        <v>254</v>
      </c>
    </row>
    <row r="108" spans="1:12" ht="13.15" customHeight="1">
      <c r="A108" s="391" t="s">
        <v>527</v>
      </c>
      <c r="B108" s="349">
        <v>32484</v>
      </c>
      <c r="C108" s="353">
        <v>29455397</v>
      </c>
      <c r="D108" s="353"/>
      <c r="E108" s="650">
        <v>12317</v>
      </c>
      <c r="F108" s="353">
        <v>1909</v>
      </c>
      <c r="G108" s="353">
        <v>109916815.09999999</v>
      </c>
      <c r="H108" s="353">
        <v>14226</v>
      </c>
      <c r="I108" s="651"/>
      <c r="J108" s="497">
        <v>7938</v>
      </c>
      <c r="K108" s="488">
        <v>5681</v>
      </c>
      <c r="L108" s="622">
        <v>607</v>
      </c>
    </row>
    <row r="109" spans="1:12" ht="13.15" customHeight="1">
      <c r="A109" s="391" t="s">
        <v>530</v>
      </c>
      <c r="B109" s="349">
        <v>481835</v>
      </c>
      <c r="C109" s="353">
        <v>439444268.25</v>
      </c>
      <c r="D109" s="353"/>
      <c r="E109" s="650">
        <v>154180</v>
      </c>
      <c r="F109" s="353">
        <v>56458</v>
      </c>
      <c r="G109" s="353">
        <v>2096839348.5999999</v>
      </c>
      <c r="H109" s="353">
        <v>210638</v>
      </c>
      <c r="I109" s="651"/>
      <c r="J109" s="497">
        <v>120713</v>
      </c>
      <c r="K109" s="488">
        <v>82350</v>
      </c>
      <c r="L109" s="622">
        <v>7575</v>
      </c>
    </row>
    <row r="110" spans="1:12" ht="13.15" customHeight="1">
      <c r="A110" s="391" t="s">
        <v>532</v>
      </c>
      <c r="B110" s="349">
        <v>31092</v>
      </c>
      <c r="C110" s="353">
        <v>28197333.620000001</v>
      </c>
      <c r="D110" s="353"/>
      <c r="E110" s="650">
        <v>13287</v>
      </c>
      <c r="F110" s="353">
        <v>749</v>
      </c>
      <c r="G110" s="353">
        <v>73403463.299999997</v>
      </c>
      <c r="H110" s="353">
        <v>14036</v>
      </c>
      <c r="I110" s="651"/>
      <c r="J110" s="497">
        <v>7878</v>
      </c>
      <c r="K110" s="488">
        <v>5842</v>
      </c>
      <c r="L110" s="622">
        <v>316</v>
      </c>
    </row>
    <row r="111" spans="1:12" ht="13.15" customHeight="1">
      <c r="A111" s="391" t="s">
        <v>535</v>
      </c>
      <c r="B111" s="349">
        <v>8202</v>
      </c>
      <c r="C111" s="353">
        <v>7396485.0199999996</v>
      </c>
      <c r="D111" s="353"/>
      <c r="E111" s="650">
        <v>2838</v>
      </c>
      <c r="F111" s="353">
        <v>706</v>
      </c>
      <c r="G111" s="353">
        <v>58614472.5</v>
      </c>
      <c r="H111" s="353">
        <v>3544</v>
      </c>
      <c r="I111" s="651"/>
      <c r="J111" s="497">
        <v>1856</v>
      </c>
      <c r="K111" s="488">
        <v>1573</v>
      </c>
      <c r="L111" s="622">
        <v>115</v>
      </c>
    </row>
    <row r="112" spans="1:12" ht="10.7" customHeight="1">
      <c r="A112" s="391"/>
      <c r="B112" s="349"/>
      <c r="C112" s="353"/>
      <c r="D112" s="353"/>
      <c r="E112" s="650"/>
      <c r="F112" s="353"/>
      <c r="G112" s="353"/>
      <c r="H112" s="353"/>
      <c r="I112" s="651"/>
      <c r="J112" s="497"/>
      <c r="K112" s="488"/>
      <c r="L112" s="622"/>
    </row>
    <row r="113" spans="1:12" ht="13.15" customHeight="1">
      <c r="A113" s="391" t="s">
        <v>465</v>
      </c>
      <c r="B113" s="488">
        <v>14308</v>
      </c>
      <c r="C113" s="497">
        <v>13027068.279999999</v>
      </c>
      <c r="D113" s="497"/>
      <c r="E113" s="663">
        <v>5039</v>
      </c>
      <c r="F113" s="497">
        <v>1191</v>
      </c>
      <c r="G113" s="497">
        <v>106752586.31</v>
      </c>
      <c r="H113" s="497">
        <v>6230</v>
      </c>
      <c r="I113" s="664"/>
      <c r="J113" s="497">
        <v>3340</v>
      </c>
      <c r="K113" s="488">
        <v>2517</v>
      </c>
      <c r="L113" s="622">
        <v>373</v>
      </c>
    </row>
    <row r="114" spans="1:12" ht="13.15" customHeight="1">
      <c r="A114" s="391" t="s">
        <v>469</v>
      </c>
      <c r="B114" s="349">
        <v>106482</v>
      </c>
      <c r="C114" s="353">
        <v>96222579.209999993</v>
      </c>
      <c r="D114" s="353"/>
      <c r="E114" s="650">
        <v>40645</v>
      </c>
      <c r="F114" s="353">
        <v>5242</v>
      </c>
      <c r="G114" s="353">
        <v>316058154.80000001</v>
      </c>
      <c r="H114" s="353">
        <v>45887</v>
      </c>
      <c r="I114" s="651"/>
      <c r="J114" s="497">
        <v>24604</v>
      </c>
      <c r="K114" s="488">
        <v>20099</v>
      </c>
      <c r="L114" s="622">
        <v>1184</v>
      </c>
    </row>
    <row r="115" spans="1:12" ht="13.15" customHeight="1">
      <c r="A115" s="391" t="s">
        <v>542</v>
      </c>
      <c r="B115" s="349">
        <v>22328</v>
      </c>
      <c r="C115" s="353">
        <v>20133068.120000001</v>
      </c>
      <c r="D115" s="353"/>
      <c r="E115" s="650">
        <v>8799</v>
      </c>
      <c r="F115" s="353">
        <v>861</v>
      </c>
      <c r="G115" s="353">
        <v>62569535.100000001</v>
      </c>
      <c r="H115" s="353">
        <v>9660</v>
      </c>
      <c r="I115" s="651"/>
      <c r="J115" s="497">
        <v>5162</v>
      </c>
      <c r="K115" s="488">
        <v>4260</v>
      </c>
      <c r="L115" s="622">
        <v>238</v>
      </c>
    </row>
    <row r="116" spans="1:12" ht="13.15" customHeight="1">
      <c r="A116" s="391" t="s">
        <v>545</v>
      </c>
      <c r="B116" s="349">
        <v>87419</v>
      </c>
      <c r="C116" s="353">
        <v>79364448.519999996</v>
      </c>
      <c r="D116" s="353"/>
      <c r="E116" s="650">
        <v>33934</v>
      </c>
      <c r="F116" s="353">
        <v>3567</v>
      </c>
      <c r="G116" s="353">
        <v>249174126.30000001</v>
      </c>
      <c r="H116" s="353">
        <v>37501</v>
      </c>
      <c r="I116" s="651"/>
      <c r="J116" s="497">
        <v>20007</v>
      </c>
      <c r="K116" s="488">
        <v>16685</v>
      </c>
      <c r="L116" s="622">
        <v>809</v>
      </c>
    </row>
    <row r="117" spans="1:12" ht="13.15" customHeight="1">
      <c r="A117" s="391" t="s">
        <v>548</v>
      </c>
      <c r="B117" s="349">
        <v>22146</v>
      </c>
      <c r="C117" s="353">
        <v>20206128.719999999</v>
      </c>
      <c r="D117" s="353"/>
      <c r="E117" s="650">
        <v>9155</v>
      </c>
      <c r="F117" s="353">
        <v>271</v>
      </c>
      <c r="G117" s="353">
        <v>48632888.299999997</v>
      </c>
      <c r="H117" s="353">
        <v>9426</v>
      </c>
      <c r="I117" s="651"/>
      <c r="J117" s="497">
        <v>4558</v>
      </c>
      <c r="K117" s="488">
        <v>4662</v>
      </c>
      <c r="L117" s="622">
        <v>206</v>
      </c>
    </row>
    <row r="118" spans="1:12" ht="10.7" customHeight="1">
      <c r="A118" s="391"/>
      <c r="B118" s="349"/>
      <c r="C118" s="353"/>
      <c r="D118" s="353"/>
      <c r="E118" s="650"/>
      <c r="F118" s="353"/>
      <c r="G118" s="353"/>
      <c r="H118" s="353"/>
      <c r="I118" s="651"/>
      <c r="J118" s="497"/>
      <c r="K118" s="488"/>
      <c r="L118" s="622"/>
    </row>
    <row r="119" spans="1:12" ht="13.15" customHeight="1">
      <c r="A119" s="391" t="s">
        <v>424</v>
      </c>
      <c r="B119" s="349">
        <v>20063</v>
      </c>
      <c r="C119" s="353">
        <v>18179212.969999999</v>
      </c>
      <c r="D119" s="353"/>
      <c r="E119" s="650">
        <v>8374</v>
      </c>
      <c r="F119" s="353">
        <v>274</v>
      </c>
      <c r="G119" s="353">
        <v>44091316.299999997</v>
      </c>
      <c r="H119" s="353">
        <v>8648</v>
      </c>
      <c r="I119" s="651"/>
      <c r="J119" s="497">
        <v>4255</v>
      </c>
      <c r="K119" s="488">
        <v>3971</v>
      </c>
      <c r="L119" s="622">
        <v>422</v>
      </c>
    </row>
    <row r="120" spans="1:12" ht="13.15" customHeight="1">
      <c r="A120" s="391" t="s">
        <v>428</v>
      </c>
      <c r="B120" s="349">
        <v>46029</v>
      </c>
      <c r="C120" s="353">
        <v>41718018.079999998</v>
      </c>
      <c r="D120" s="353"/>
      <c r="E120" s="650">
        <v>18473</v>
      </c>
      <c r="F120" s="353">
        <v>1835</v>
      </c>
      <c r="G120" s="497">
        <v>124578350.8</v>
      </c>
      <c r="H120" s="353">
        <v>20308</v>
      </c>
      <c r="I120" s="651"/>
      <c r="J120" s="497">
        <v>11589</v>
      </c>
      <c r="K120" s="488">
        <v>8228</v>
      </c>
      <c r="L120" s="622">
        <v>491</v>
      </c>
    </row>
    <row r="121" spans="1:12" ht="13.15" customHeight="1">
      <c r="A121" s="391" t="s">
        <v>432</v>
      </c>
      <c r="B121" s="349">
        <v>27483</v>
      </c>
      <c r="C121" s="353">
        <v>25030197.52</v>
      </c>
      <c r="D121" s="353"/>
      <c r="E121" s="650">
        <v>11675</v>
      </c>
      <c r="F121" s="353">
        <v>455</v>
      </c>
      <c r="G121" s="353">
        <v>63422594.799999997</v>
      </c>
      <c r="H121" s="353">
        <v>12130</v>
      </c>
      <c r="I121" s="651"/>
      <c r="J121" s="497">
        <v>6643</v>
      </c>
      <c r="K121" s="488">
        <v>5184</v>
      </c>
      <c r="L121" s="622">
        <v>303</v>
      </c>
    </row>
    <row r="122" spans="1:12" ht="13.15" customHeight="1">
      <c r="A122" s="391" t="s">
        <v>436</v>
      </c>
      <c r="B122" s="349">
        <v>17838</v>
      </c>
      <c r="C122" s="353">
        <v>16223445.07</v>
      </c>
      <c r="D122" s="353"/>
      <c r="E122" s="650">
        <v>6959</v>
      </c>
      <c r="F122" s="353">
        <v>819</v>
      </c>
      <c r="G122" s="353">
        <v>48947702.700000003</v>
      </c>
      <c r="H122" s="353">
        <v>7778</v>
      </c>
      <c r="I122" s="651"/>
      <c r="J122" s="497">
        <v>4402</v>
      </c>
      <c r="K122" s="488">
        <v>3106</v>
      </c>
      <c r="L122" s="622">
        <v>270</v>
      </c>
    </row>
    <row r="123" spans="1:12" ht="13.15" customHeight="1">
      <c r="A123" s="391" t="s">
        <v>440</v>
      </c>
      <c r="B123" s="349">
        <v>139522</v>
      </c>
      <c r="C123" s="353">
        <v>126898537.5</v>
      </c>
      <c r="D123" s="353"/>
      <c r="E123" s="650">
        <v>48842</v>
      </c>
      <c r="F123" s="353">
        <v>11572</v>
      </c>
      <c r="G123" s="353">
        <v>509777032.89999998</v>
      </c>
      <c r="H123" s="353">
        <v>60414</v>
      </c>
      <c r="I123" s="651"/>
      <c r="J123" s="497">
        <v>33734</v>
      </c>
      <c r="K123" s="488">
        <v>24843</v>
      </c>
      <c r="L123" s="622">
        <v>1837</v>
      </c>
    </row>
    <row r="124" spans="1:12" ht="10.7" customHeight="1">
      <c r="A124" s="391"/>
      <c r="B124" s="349"/>
      <c r="C124" s="353"/>
      <c r="D124" s="353"/>
      <c r="E124" s="650"/>
      <c r="F124" s="353"/>
      <c r="G124" s="353"/>
      <c r="H124" s="353"/>
      <c r="I124" s="651"/>
      <c r="J124" s="497"/>
      <c r="K124" s="488"/>
      <c r="L124" s="622"/>
    </row>
    <row r="125" spans="1:12" ht="13.15" customHeight="1">
      <c r="A125" s="391" t="s">
        <v>444</v>
      </c>
      <c r="B125" s="349">
        <v>150485</v>
      </c>
      <c r="C125" s="353">
        <v>136528996.06</v>
      </c>
      <c r="D125" s="353"/>
      <c r="E125" s="650">
        <v>47765</v>
      </c>
      <c r="F125" s="353">
        <v>16200</v>
      </c>
      <c r="G125" s="353">
        <v>601920124.5</v>
      </c>
      <c r="H125" s="353">
        <v>63965</v>
      </c>
      <c r="I125" s="651"/>
      <c r="J125" s="497">
        <v>34164</v>
      </c>
      <c r="K125" s="488">
        <v>27424</v>
      </c>
      <c r="L125" s="622">
        <v>2377</v>
      </c>
    </row>
    <row r="126" spans="1:12" ht="13.15" customHeight="1">
      <c r="A126" s="391" t="s">
        <v>448</v>
      </c>
      <c r="B126" s="349">
        <v>7238</v>
      </c>
      <c r="C126" s="353">
        <v>6571908.6200000001</v>
      </c>
      <c r="D126" s="353"/>
      <c r="E126" s="650">
        <v>2897</v>
      </c>
      <c r="F126" s="353">
        <v>340</v>
      </c>
      <c r="G126" s="353">
        <v>20737973.600000001</v>
      </c>
      <c r="H126" s="353">
        <v>3237</v>
      </c>
      <c r="I126" s="651"/>
      <c r="J126" s="497">
        <v>1806</v>
      </c>
      <c r="K126" s="488">
        <v>1300</v>
      </c>
      <c r="L126" s="622">
        <v>131</v>
      </c>
    </row>
    <row r="127" spans="1:12" ht="13.15" customHeight="1">
      <c r="A127" s="391" t="s">
        <v>452</v>
      </c>
      <c r="B127" s="349">
        <v>8478</v>
      </c>
      <c r="C127" s="353">
        <v>7725520.0199999996</v>
      </c>
      <c r="D127" s="353"/>
      <c r="E127" s="650">
        <v>3501</v>
      </c>
      <c r="F127" s="353">
        <v>427</v>
      </c>
      <c r="G127" s="353">
        <v>23443626.899999999</v>
      </c>
      <c r="H127" s="353">
        <v>3928</v>
      </c>
      <c r="I127" s="651"/>
      <c r="J127" s="497">
        <v>2591</v>
      </c>
      <c r="K127" s="488">
        <v>1217</v>
      </c>
      <c r="L127" s="622">
        <v>120</v>
      </c>
    </row>
    <row r="128" spans="1:12" ht="13.15" customHeight="1">
      <c r="A128" s="392" t="s">
        <v>456</v>
      </c>
      <c r="B128" s="353">
        <v>36279</v>
      </c>
      <c r="C128" s="353">
        <v>32956716.710000001</v>
      </c>
      <c r="D128" s="353"/>
      <c r="E128" s="650">
        <v>14616</v>
      </c>
      <c r="F128" s="353">
        <v>668</v>
      </c>
      <c r="G128" s="353">
        <v>83300741.099999994</v>
      </c>
      <c r="H128" s="353">
        <v>15284</v>
      </c>
      <c r="I128" s="651"/>
      <c r="J128" s="497">
        <v>7676</v>
      </c>
      <c r="K128" s="497">
        <v>7222</v>
      </c>
      <c r="L128" s="624">
        <v>386</v>
      </c>
    </row>
    <row r="129" spans="1:14" ht="13.15" customHeight="1">
      <c r="A129" s="392" t="s">
        <v>460</v>
      </c>
      <c r="B129" s="353">
        <v>40374</v>
      </c>
      <c r="C129" s="353">
        <v>36702421.350000001</v>
      </c>
      <c r="D129" s="353"/>
      <c r="E129" s="650">
        <v>15885</v>
      </c>
      <c r="F129" s="353">
        <v>2345</v>
      </c>
      <c r="G129" s="353">
        <v>125006987.5</v>
      </c>
      <c r="H129" s="353">
        <v>18230</v>
      </c>
      <c r="I129" s="651"/>
      <c r="J129" s="497">
        <v>10557</v>
      </c>
      <c r="K129" s="497">
        <v>7103</v>
      </c>
      <c r="L129" s="624">
        <v>570</v>
      </c>
      <c r="M129" s="627"/>
    </row>
    <row r="130" spans="1:14" ht="18">
      <c r="A130" s="416" t="s">
        <v>728</v>
      </c>
      <c r="B130" s="626"/>
      <c r="C130" s="626"/>
      <c r="D130" s="626"/>
      <c r="E130" s="626"/>
      <c r="F130" s="626"/>
      <c r="G130" s="626"/>
      <c r="H130" s="626"/>
      <c r="I130" s="626"/>
      <c r="J130" s="624"/>
      <c r="K130" s="624"/>
      <c r="L130" s="624"/>
      <c r="M130" s="627"/>
    </row>
    <row r="131" spans="1:14" ht="15.75">
      <c r="A131" s="652" t="str">
        <f>A88</f>
        <v>Exemptions, Standard and Itemized Deductions, and Number of Returns by Filing Status/Locality</v>
      </c>
      <c r="B131" s="626"/>
      <c r="C131" s="626"/>
      <c r="D131" s="626"/>
      <c r="E131" s="626"/>
      <c r="F131" s="626"/>
      <c r="G131" s="626"/>
      <c r="H131" s="626"/>
      <c r="I131" s="626"/>
      <c r="J131" s="624"/>
      <c r="K131" s="624"/>
      <c r="L131" s="624"/>
    </row>
    <row r="132" spans="1:14" ht="15.75">
      <c r="A132" s="625" t="str">
        <f>A89</f>
        <v>Taxable Year 2018</v>
      </c>
      <c r="B132" s="626"/>
      <c r="C132" s="626"/>
      <c r="D132" s="626"/>
      <c r="E132" s="626"/>
      <c r="F132" s="626"/>
      <c r="G132" s="626"/>
      <c r="H132" s="626"/>
      <c r="I132" s="626"/>
      <c r="J132" s="624"/>
      <c r="K132" s="624"/>
      <c r="L132" s="624"/>
    </row>
    <row r="133" spans="1:14" ht="13.15" customHeight="1" thickBot="1">
      <c r="A133" s="627"/>
      <c r="B133" s="653">
        <f t="shared" ref="B133:L133" si="2">SUM(B95:B129)</f>
        <v>1570197</v>
      </c>
      <c r="C133" s="653">
        <f t="shared" si="2"/>
        <v>1426619177.7399998</v>
      </c>
      <c r="D133" s="653">
        <f t="shared" si="2"/>
        <v>0</v>
      </c>
      <c r="E133" s="653">
        <f t="shared" si="2"/>
        <v>563270</v>
      </c>
      <c r="F133" s="653">
        <f t="shared" si="2"/>
        <v>118308</v>
      </c>
      <c r="G133" s="653">
        <f t="shared" si="2"/>
        <v>5571617177.1100016</v>
      </c>
      <c r="H133" s="653">
        <f t="shared" si="2"/>
        <v>681578</v>
      </c>
      <c r="I133" s="653">
        <f t="shared" si="2"/>
        <v>0</v>
      </c>
      <c r="J133" s="654">
        <f t="shared" si="2"/>
        <v>377030</v>
      </c>
      <c r="K133" s="654">
        <f t="shared" si="2"/>
        <v>282825</v>
      </c>
      <c r="L133" s="654">
        <f t="shared" si="2"/>
        <v>21723</v>
      </c>
    </row>
    <row r="134" spans="1:14">
      <c r="A134" s="628"/>
      <c r="B134" s="1318" t="s">
        <v>410</v>
      </c>
      <c r="C134" s="1318"/>
      <c r="D134" s="1214"/>
      <c r="E134" s="1319" t="s">
        <v>411</v>
      </c>
      <c r="F134" s="1320"/>
      <c r="G134" s="1320"/>
      <c r="H134" s="1320"/>
      <c r="I134" s="630"/>
      <c r="J134" s="631"/>
      <c r="K134" s="632" t="s">
        <v>725</v>
      </c>
      <c r="L134" s="633"/>
      <c r="M134" s="627"/>
    </row>
    <row r="135" spans="1:14" ht="13.15" customHeight="1">
      <c r="A135" s="655"/>
      <c r="B135" s="656"/>
      <c r="C135" s="656"/>
      <c r="D135" s="656"/>
      <c r="E135" s="657"/>
      <c r="F135" s="656"/>
      <c r="G135" s="656"/>
      <c r="H135" s="658" t="s">
        <v>17</v>
      </c>
      <c r="I135" s="659"/>
      <c r="J135" s="660"/>
      <c r="K135" s="641" t="s">
        <v>985</v>
      </c>
      <c r="L135" s="641" t="s">
        <v>985</v>
      </c>
    </row>
    <row r="136" spans="1:14" ht="13.15" customHeight="1">
      <c r="A136" s="411" t="s">
        <v>23</v>
      </c>
      <c r="B136" s="642" t="s">
        <v>726</v>
      </c>
      <c r="C136" s="642" t="s">
        <v>20</v>
      </c>
      <c r="D136" s="642"/>
      <c r="E136" s="643" t="s">
        <v>407</v>
      </c>
      <c r="F136" s="642" t="s">
        <v>406</v>
      </c>
      <c r="G136" s="411" t="s">
        <v>20</v>
      </c>
      <c r="H136" s="642" t="s">
        <v>404</v>
      </c>
      <c r="I136" s="644"/>
      <c r="J136" s="645" t="s">
        <v>727</v>
      </c>
      <c r="K136" s="645" t="s">
        <v>402</v>
      </c>
      <c r="L136" s="646" t="s">
        <v>984</v>
      </c>
    </row>
    <row r="137" spans="1:14" ht="10.7" customHeight="1">
      <c r="A137" s="392"/>
      <c r="B137" s="658"/>
      <c r="C137" s="658"/>
      <c r="D137" s="658"/>
      <c r="E137" s="662"/>
      <c r="F137" s="658"/>
      <c r="G137" s="658"/>
      <c r="H137" s="658"/>
      <c r="I137" s="659"/>
      <c r="J137" s="660"/>
      <c r="K137" s="660"/>
      <c r="L137" s="624"/>
    </row>
    <row r="138" spans="1:14" ht="13.15" customHeight="1">
      <c r="A138" s="358" t="s">
        <v>464</v>
      </c>
      <c r="B138" s="349">
        <v>57177</v>
      </c>
      <c r="C138" s="649">
        <v>51876222.119999997</v>
      </c>
      <c r="D138" s="649"/>
      <c r="E138" s="650">
        <v>23356</v>
      </c>
      <c r="F138" s="353">
        <v>1628</v>
      </c>
      <c r="G138" s="649">
        <v>157369762.5</v>
      </c>
      <c r="H138" s="353">
        <v>24984</v>
      </c>
      <c r="I138" s="651"/>
      <c r="J138" s="497">
        <v>12663</v>
      </c>
      <c r="K138" s="488">
        <v>11079</v>
      </c>
      <c r="L138" s="622">
        <v>1242</v>
      </c>
    </row>
    <row r="139" spans="1:14" ht="13.15" customHeight="1">
      <c r="A139" s="391" t="s">
        <v>468</v>
      </c>
      <c r="B139" s="349">
        <v>18620</v>
      </c>
      <c r="C139" s="353">
        <v>16770960.939999999</v>
      </c>
      <c r="D139" s="353"/>
      <c r="E139" s="650">
        <v>7044</v>
      </c>
      <c r="F139" s="353">
        <v>1043</v>
      </c>
      <c r="G139" s="353">
        <v>55684818.899999999</v>
      </c>
      <c r="H139" s="353">
        <v>8087</v>
      </c>
      <c r="I139" s="651"/>
      <c r="J139" s="497">
        <v>4808</v>
      </c>
      <c r="K139" s="488">
        <v>3021</v>
      </c>
      <c r="L139" s="622">
        <v>258</v>
      </c>
    </row>
    <row r="140" spans="1:14" ht="13.15" customHeight="1">
      <c r="A140" s="391" t="s">
        <v>472</v>
      </c>
      <c r="B140" s="349">
        <v>30169</v>
      </c>
      <c r="C140" s="353">
        <v>27475448.059999999</v>
      </c>
      <c r="D140" s="353"/>
      <c r="E140" s="650">
        <v>12350</v>
      </c>
      <c r="F140" s="497">
        <v>457</v>
      </c>
      <c r="G140" s="353">
        <v>66236761.409999996</v>
      </c>
      <c r="H140" s="353">
        <v>12807</v>
      </c>
      <c r="I140" s="651"/>
      <c r="J140" s="497">
        <v>6672</v>
      </c>
      <c r="K140" s="488">
        <v>5779</v>
      </c>
      <c r="L140" s="622">
        <v>356</v>
      </c>
    </row>
    <row r="141" spans="1:14" ht="13.15" customHeight="1">
      <c r="A141" s="391" t="s">
        <v>476</v>
      </c>
      <c r="B141" s="349">
        <v>27110</v>
      </c>
      <c r="C141" s="353">
        <v>24641321.289999999</v>
      </c>
      <c r="D141" s="353"/>
      <c r="E141" s="650">
        <v>11443</v>
      </c>
      <c r="F141" s="353">
        <v>549</v>
      </c>
      <c r="G141" s="353">
        <v>64923508.799999997</v>
      </c>
      <c r="H141" s="353">
        <v>11992</v>
      </c>
      <c r="I141" s="651"/>
      <c r="J141" s="497">
        <v>6526</v>
      </c>
      <c r="K141" s="488">
        <v>5125</v>
      </c>
      <c r="L141" s="622">
        <v>341</v>
      </c>
    </row>
    <row r="142" spans="1:14" ht="13.15" customHeight="1">
      <c r="A142" s="392" t="s">
        <v>480</v>
      </c>
      <c r="B142" s="353">
        <v>68761</v>
      </c>
      <c r="C142" s="353">
        <v>61784140.520000003</v>
      </c>
      <c r="D142" s="353"/>
      <c r="E142" s="650">
        <v>23562</v>
      </c>
      <c r="F142" s="353">
        <v>5345</v>
      </c>
      <c r="G142" s="353">
        <v>245322220.90000001</v>
      </c>
      <c r="H142" s="353">
        <v>28907</v>
      </c>
      <c r="I142" s="651"/>
      <c r="J142" s="497">
        <v>14370</v>
      </c>
      <c r="K142" s="488">
        <v>13437</v>
      </c>
      <c r="L142" s="624">
        <v>1100</v>
      </c>
    </row>
    <row r="143" spans="1:14" ht="10.7" customHeight="1">
      <c r="A143" s="392"/>
      <c r="B143" s="353"/>
      <c r="C143" s="665"/>
      <c r="D143" s="665"/>
      <c r="E143" s="666"/>
      <c r="F143" s="665"/>
      <c r="G143" s="665"/>
      <c r="H143" s="665"/>
      <c r="I143" s="667"/>
      <c r="J143" s="668"/>
      <c r="K143" s="497"/>
      <c r="L143" s="624"/>
      <c r="N143" s="669"/>
    </row>
    <row r="144" spans="1:14" ht="13.15" customHeight="1">
      <c r="A144" s="429" t="s">
        <v>24</v>
      </c>
      <c r="B144" s="670">
        <f>SUM(B138:B143)+B133+B90+B47</f>
        <v>6151894</v>
      </c>
      <c r="C144" s="430">
        <f t="shared" ref="C144:L144" si="3">SUM(C138:C143)+C133+C90+C47</f>
        <v>5577402454.6200008</v>
      </c>
      <c r="D144" s="671"/>
      <c r="E144" s="672">
        <f t="shared" si="3"/>
        <v>2167048</v>
      </c>
      <c r="F144" s="670">
        <f t="shared" si="3"/>
        <v>537911</v>
      </c>
      <c r="G144" s="430">
        <f t="shared" si="3"/>
        <v>25364249647.560005</v>
      </c>
      <c r="H144" s="670">
        <f t="shared" si="3"/>
        <v>2704959</v>
      </c>
      <c r="I144" s="673"/>
      <c r="J144" s="674">
        <f t="shared" si="3"/>
        <v>1498829</v>
      </c>
      <c r="K144" s="674">
        <f t="shared" si="3"/>
        <v>1117881</v>
      </c>
      <c r="L144" s="674">
        <f t="shared" si="3"/>
        <v>88249</v>
      </c>
    </row>
    <row r="145" spans="1:13" ht="13.15" customHeight="1" thickBot="1">
      <c r="A145" s="432"/>
      <c r="B145" s="656"/>
      <c r="C145" s="656"/>
      <c r="D145" s="656"/>
      <c r="E145" s="656"/>
      <c r="F145" s="656"/>
      <c r="G145" s="656"/>
      <c r="H145" s="656"/>
      <c r="I145" s="656"/>
      <c r="J145" s="675"/>
      <c r="K145" s="675"/>
      <c r="L145" s="624"/>
    </row>
    <row r="146" spans="1:13">
      <c r="A146" s="628"/>
      <c r="B146" s="1318" t="s">
        <v>410</v>
      </c>
      <c r="C146" s="1318"/>
      <c r="D146" s="1214"/>
      <c r="E146" s="1319" t="s">
        <v>411</v>
      </c>
      <c r="F146" s="1320"/>
      <c r="G146" s="1320"/>
      <c r="H146" s="1320"/>
      <c r="I146" s="630"/>
      <c r="J146" s="631"/>
      <c r="K146" s="632" t="s">
        <v>725</v>
      </c>
      <c r="L146" s="633"/>
      <c r="M146" s="627"/>
    </row>
    <row r="147" spans="1:13" ht="13.15" customHeight="1">
      <c r="A147" s="655"/>
      <c r="B147" s="656"/>
      <c r="C147" s="656"/>
      <c r="D147" s="656"/>
      <c r="E147" s="657"/>
      <c r="F147" s="656"/>
      <c r="G147" s="656"/>
      <c r="H147" s="658" t="s">
        <v>17</v>
      </c>
      <c r="I147" s="659"/>
      <c r="J147" s="660"/>
      <c r="K147" s="641" t="s">
        <v>985</v>
      </c>
      <c r="L147" s="641" t="s">
        <v>985</v>
      </c>
    </row>
    <row r="148" spans="1:13" ht="13.15" customHeight="1">
      <c r="A148" s="655" t="s">
        <v>25</v>
      </c>
      <c r="B148" s="642" t="s">
        <v>726</v>
      </c>
      <c r="C148" s="642" t="s">
        <v>20</v>
      </c>
      <c r="D148" s="642"/>
      <c r="E148" s="643" t="s">
        <v>407</v>
      </c>
      <c r="F148" s="642" t="s">
        <v>406</v>
      </c>
      <c r="G148" s="411" t="s">
        <v>20</v>
      </c>
      <c r="H148" s="642" t="s">
        <v>404</v>
      </c>
      <c r="I148" s="644"/>
      <c r="J148" s="645" t="s">
        <v>727</v>
      </c>
      <c r="K148" s="645" t="s">
        <v>402</v>
      </c>
      <c r="L148" s="646" t="s">
        <v>984</v>
      </c>
    </row>
    <row r="149" spans="1:13" ht="10.7" customHeight="1">
      <c r="A149" s="634"/>
      <c r="B149" s="676"/>
      <c r="C149" s="676"/>
      <c r="D149" s="676"/>
      <c r="E149" s="677"/>
      <c r="F149" s="676"/>
      <c r="G149" s="676"/>
      <c r="H149" s="676"/>
      <c r="I149" s="678"/>
      <c r="J149" s="679"/>
      <c r="K149" s="679"/>
      <c r="L149" s="679"/>
      <c r="M149" s="627"/>
    </row>
    <row r="150" spans="1:13" ht="13.15" customHeight="1">
      <c r="A150" s="392" t="s">
        <v>497</v>
      </c>
      <c r="B150" s="353">
        <v>165238</v>
      </c>
      <c r="C150" s="649">
        <v>148428244.91</v>
      </c>
      <c r="D150" s="649"/>
      <c r="E150" s="650">
        <v>64054</v>
      </c>
      <c r="F150" s="353">
        <v>23802</v>
      </c>
      <c r="G150" s="649">
        <v>995519604.48000002</v>
      </c>
      <c r="H150" s="353">
        <v>87856</v>
      </c>
      <c r="I150" s="651"/>
      <c r="J150" s="497">
        <v>58419</v>
      </c>
      <c r="K150" s="497">
        <v>25345</v>
      </c>
      <c r="L150" s="624">
        <v>4092</v>
      </c>
    </row>
    <row r="151" spans="1:13" ht="13.15" customHeight="1">
      <c r="A151" s="391" t="s">
        <v>502</v>
      </c>
      <c r="B151" s="349">
        <v>23004</v>
      </c>
      <c r="C151" s="353">
        <v>20922617.960000001</v>
      </c>
      <c r="D151" s="353"/>
      <c r="E151" s="650">
        <v>10426</v>
      </c>
      <c r="F151" s="353">
        <v>497</v>
      </c>
      <c r="G151" s="353">
        <v>76188743.700000003</v>
      </c>
      <c r="H151" s="353">
        <v>10923</v>
      </c>
      <c r="I151" s="651"/>
      <c r="J151" s="497">
        <v>6216</v>
      </c>
      <c r="K151" s="488">
        <v>3467</v>
      </c>
      <c r="L151" s="622">
        <v>1240</v>
      </c>
    </row>
    <row r="152" spans="1:13" ht="13.15" customHeight="1">
      <c r="A152" s="391" t="s">
        <v>505</v>
      </c>
      <c r="B152" s="349">
        <v>6100</v>
      </c>
      <c r="C152" s="353">
        <v>5524197.4699999997</v>
      </c>
      <c r="D152" s="353"/>
      <c r="E152" s="650">
        <v>2634</v>
      </c>
      <c r="F152" s="353">
        <v>117</v>
      </c>
      <c r="G152" s="353">
        <v>16301593.800000001</v>
      </c>
      <c r="H152" s="353">
        <v>2751</v>
      </c>
      <c r="I152" s="651"/>
      <c r="J152" s="497">
        <v>1639</v>
      </c>
      <c r="K152" s="488">
        <v>1048</v>
      </c>
      <c r="L152" s="622">
        <v>64</v>
      </c>
    </row>
    <row r="153" spans="1:13" ht="13.15" customHeight="1">
      <c r="A153" s="391" t="s">
        <v>508</v>
      </c>
      <c r="B153" s="349">
        <v>40381</v>
      </c>
      <c r="C153" s="353">
        <v>36445144.640000001</v>
      </c>
      <c r="D153" s="353"/>
      <c r="E153" s="650">
        <v>18444</v>
      </c>
      <c r="F153" s="353">
        <v>2945</v>
      </c>
      <c r="G153" s="497">
        <v>177537040.30000001</v>
      </c>
      <c r="H153" s="353">
        <v>21389</v>
      </c>
      <c r="I153" s="651"/>
      <c r="J153" s="497">
        <v>14556</v>
      </c>
      <c r="K153" s="488">
        <v>6012</v>
      </c>
      <c r="L153" s="622">
        <v>821</v>
      </c>
    </row>
    <row r="154" spans="1:13" ht="13.15" customHeight="1">
      <c r="A154" s="391" t="s">
        <v>511</v>
      </c>
      <c r="B154" s="349">
        <v>236141</v>
      </c>
      <c r="C154" s="353">
        <v>214372058.38999999</v>
      </c>
      <c r="D154" s="353"/>
      <c r="E154" s="650">
        <v>86594</v>
      </c>
      <c r="F154" s="353">
        <v>19005</v>
      </c>
      <c r="G154" s="353">
        <v>820337102.10000002</v>
      </c>
      <c r="H154" s="353">
        <v>105599</v>
      </c>
      <c r="I154" s="651"/>
      <c r="J154" s="497">
        <v>60555</v>
      </c>
      <c r="K154" s="488">
        <v>40071</v>
      </c>
      <c r="L154" s="622">
        <v>4973</v>
      </c>
    </row>
    <row r="155" spans="1:13" ht="9.6" customHeight="1">
      <c r="A155" s="391"/>
      <c r="B155" s="349"/>
      <c r="C155" s="353"/>
      <c r="D155" s="353"/>
      <c r="E155" s="650"/>
      <c r="F155" s="353"/>
      <c r="G155" s="353"/>
      <c r="H155" s="353"/>
      <c r="I155" s="651"/>
      <c r="J155" s="497"/>
      <c r="K155" s="488"/>
      <c r="L155" s="622"/>
    </row>
    <row r="156" spans="1:13" ht="13.15" customHeight="1">
      <c r="A156" s="391" t="s">
        <v>514</v>
      </c>
      <c r="B156" s="349">
        <v>18423</v>
      </c>
      <c r="C156" s="353">
        <v>16695895.48</v>
      </c>
      <c r="D156" s="353"/>
      <c r="E156" s="650">
        <v>7652</v>
      </c>
      <c r="F156" s="353">
        <v>772</v>
      </c>
      <c r="G156" s="353">
        <v>104375561.2</v>
      </c>
      <c r="H156" s="353">
        <v>8424</v>
      </c>
      <c r="I156" s="651"/>
      <c r="J156" s="497">
        <v>5477</v>
      </c>
      <c r="K156" s="488">
        <v>2733</v>
      </c>
      <c r="L156" s="622">
        <v>214</v>
      </c>
    </row>
    <row r="157" spans="1:13" ht="13.15" customHeight="1">
      <c r="A157" s="391" t="s">
        <v>517</v>
      </c>
      <c r="B157" s="349">
        <v>5920</v>
      </c>
      <c r="C157" s="353">
        <v>5392067.2400000002</v>
      </c>
      <c r="D157" s="353"/>
      <c r="E157" s="650">
        <v>2673</v>
      </c>
      <c r="F157" s="353">
        <v>77</v>
      </c>
      <c r="G157" s="353">
        <v>21499237.100000001</v>
      </c>
      <c r="H157" s="353">
        <v>2750</v>
      </c>
      <c r="I157" s="651"/>
      <c r="J157" s="497">
        <v>1778</v>
      </c>
      <c r="K157" s="488">
        <v>905</v>
      </c>
      <c r="L157" s="622">
        <v>67</v>
      </c>
    </row>
    <row r="158" spans="1:13" ht="13.15" customHeight="1">
      <c r="A158" s="391" t="s">
        <v>520</v>
      </c>
      <c r="B158" s="349">
        <v>41292</v>
      </c>
      <c r="C158" s="353">
        <v>37544606.369999997</v>
      </c>
      <c r="D158" s="353"/>
      <c r="E158" s="650">
        <v>17877</v>
      </c>
      <c r="F158" s="353">
        <v>1359</v>
      </c>
      <c r="G158" s="353">
        <v>115613395.11</v>
      </c>
      <c r="H158" s="353">
        <v>19236</v>
      </c>
      <c r="I158" s="651"/>
      <c r="J158" s="497">
        <v>13226</v>
      </c>
      <c r="K158" s="488">
        <v>5113</v>
      </c>
      <c r="L158" s="622">
        <v>897</v>
      </c>
    </row>
    <row r="159" spans="1:13" ht="13.15" customHeight="1">
      <c r="A159" s="391" t="s">
        <v>523</v>
      </c>
      <c r="B159" s="349">
        <v>5569</v>
      </c>
      <c r="C159" s="353">
        <v>5098772</v>
      </c>
      <c r="D159" s="353"/>
      <c r="E159" s="650">
        <v>2364</v>
      </c>
      <c r="F159" s="353">
        <v>205</v>
      </c>
      <c r="G159" s="353">
        <v>14248293.300000001</v>
      </c>
      <c r="H159" s="353">
        <v>2569</v>
      </c>
      <c r="I159" s="651"/>
      <c r="J159" s="497">
        <v>1941</v>
      </c>
      <c r="K159" s="488">
        <v>522</v>
      </c>
      <c r="L159" s="622">
        <v>106</v>
      </c>
    </row>
    <row r="160" spans="1:13" ht="13.15" customHeight="1">
      <c r="A160" s="391" t="s">
        <v>518</v>
      </c>
      <c r="B160" s="349">
        <v>32550</v>
      </c>
      <c r="C160" s="353">
        <v>29506245.66</v>
      </c>
      <c r="D160" s="353"/>
      <c r="E160" s="650">
        <v>11012</v>
      </c>
      <c r="F160" s="353">
        <v>4224</v>
      </c>
      <c r="G160" s="353">
        <v>189651714</v>
      </c>
      <c r="H160" s="353">
        <v>15236</v>
      </c>
      <c r="I160" s="651"/>
      <c r="J160" s="497">
        <v>8790</v>
      </c>
      <c r="K160" s="488">
        <v>5787</v>
      </c>
      <c r="L160" s="622">
        <v>659</v>
      </c>
    </row>
    <row r="161" spans="1:13" ht="9.6" customHeight="1">
      <c r="A161" s="391"/>
      <c r="B161" s="349"/>
      <c r="C161" s="353"/>
      <c r="D161" s="353"/>
      <c r="E161" s="650"/>
      <c r="F161" s="353"/>
      <c r="G161" s="353"/>
      <c r="H161" s="353"/>
      <c r="I161" s="651"/>
      <c r="J161" s="497"/>
      <c r="K161" s="488"/>
      <c r="L161" s="622"/>
    </row>
    <row r="162" spans="1:13" ht="13.15" customHeight="1">
      <c r="A162" s="391" t="s">
        <v>528</v>
      </c>
      <c r="B162" s="349">
        <v>17861</v>
      </c>
      <c r="C162" s="353">
        <v>16037271.619999999</v>
      </c>
      <c r="D162" s="353"/>
      <c r="E162" s="650">
        <v>5343</v>
      </c>
      <c r="F162" s="353">
        <v>2596</v>
      </c>
      <c r="G162" s="353">
        <v>114456724.3</v>
      </c>
      <c r="H162" s="353">
        <v>7939</v>
      </c>
      <c r="I162" s="651"/>
      <c r="J162" s="497">
        <v>4305</v>
      </c>
      <c r="K162" s="488">
        <v>3243</v>
      </c>
      <c r="L162" s="622">
        <v>391</v>
      </c>
    </row>
    <row r="163" spans="1:13" ht="13.15" customHeight="1">
      <c r="A163" s="391" t="s">
        <v>26</v>
      </c>
      <c r="B163" s="488">
        <v>7853</v>
      </c>
      <c r="C163" s="497">
        <v>7148158.7199999997</v>
      </c>
      <c r="D163" s="353"/>
      <c r="E163" s="650">
        <v>3128</v>
      </c>
      <c r="F163" s="353">
        <v>364</v>
      </c>
      <c r="G163" s="353">
        <v>22351911.100000001</v>
      </c>
      <c r="H163" s="353">
        <v>3492</v>
      </c>
      <c r="I163" s="651"/>
      <c r="J163" s="497">
        <v>2408</v>
      </c>
      <c r="K163" s="488">
        <v>952</v>
      </c>
      <c r="L163" s="622">
        <v>132</v>
      </c>
    </row>
    <row r="164" spans="1:13" ht="13.15" customHeight="1">
      <c r="A164" s="391" t="s">
        <v>533</v>
      </c>
      <c r="B164" s="349">
        <v>26631</v>
      </c>
      <c r="C164" s="353">
        <v>24159502.370000001</v>
      </c>
      <c r="D164" s="353"/>
      <c r="E164" s="650">
        <v>11055</v>
      </c>
      <c r="F164" s="353">
        <v>2110</v>
      </c>
      <c r="G164" s="353">
        <v>103947120.2</v>
      </c>
      <c r="H164" s="353">
        <v>13165</v>
      </c>
      <c r="I164" s="651"/>
      <c r="J164" s="497">
        <v>8928</v>
      </c>
      <c r="K164" s="488">
        <v>3740</v>
      </c>
      <c r="L164" s="622">
        <v>497</v>
      </c>
    </row>
    <row r="165" spans="1:13" ht="13.15" customHeight="1">
      <c r="A165" s="391" t="s">
        <v>536</v>
      </c>
      <c r="B165" s="349">
        <v>7119</v>
      </c>
      <c r="C165" s="353">
        <v>6485654.04</v>
      </c>
      <c r="D165" s="353"/>
      <c r="E165" s="650">
        <v>3038</v>
      </c>
      <c r="F165" s="353">
        <v>157</v>
      </c>
      <c r="G165" s="353">
        <v>31471274.300000001</v>
      </c>
      <c r="H165" s="353">
        <v>3195</v>
      </c>
      <c r="I165" s="651"/>
      <c r="J165" s="497">
        <v>1975</v>
      </c>
      <c r="K165" s="488">
        <v>1130</v>
      </c>
      <c r="L165" s="622">
        <v>90</v>
      </c>
    </row>
    <row r="166" spans="1:13" ht="13.15" customHeight="1">
      <c r="A166" s="391" t="s">
        <v>538</v>
      </c>
      <c r="B166" s="349">
        <v>116733</v>
      </c>
      <c r="C166" s="353">
        <v>105713449.77</v>
      </c>
      <c r="D166" s="353"/>
      <c r="E166" s="650">
        <v>49416</v>
      </c>
      <c r="F166" s="353">
        <v>6758</v>
      </c>
      <c r="G166" s="353">
        <v>345979583.30000001</v>
      </c>
      <c r="H166" s="353">
        <v>56174</v>
      </c>
      <c r="I166" s="651"/>
      <c r="J166" s="497">
        <v>37884</v>
      </c>
      <c r="K166" s="488">
        <v>15978</v>
      </c>
      <c r="L166" s="622">
        <v>2312</v>
      </c>
    </row>
    <row r="167" spans="1:13" ht="10.15" customHeight="1">
      <c r="A167" s="391"/>
      <c r="B167" s="349"/>
      <c r="C167" s="353"/>
      <c r="D167" s="353"/>
      <c r="E167" s="650"/>
      <c r="F167" s="353"/>
      <c r="G167" s="353"/>
      <c r="H167" s="353"/>
      <c r="I167" s="651"/>
      <c r="J167" s="497"/>
      <c r="K167" s="488"/>
      <c r="L167" s="622"/>
    </row>
    <row r="168" spans="1:13" ht="13.15" customHeight="1">
      <c r="A168" s="391" t="s">
        <v>540</v>
      </c>
      <c r="B168" s="349">
        <v>36874</v>
      </c>
      <c r="C168" s="353">
        <v>33516980.390000001</v>
      </c>
      <c r="D168" s="353"/>
      <c r="E168" s="650">
        <v>16614</v>
      </c>
      <c r="F168" s="353">
        <v>1243</v>
      </c>
      <c r="G168" s="353">
        <v>110956270</v>
      </c>
      <c r="H168" s="353">
        <v>17857</v>
      </c>
      <c r="I168" s="651"/>
      <c r="J168" s="497">
        <v>12276</v>
      </c>
      <c r="K168" s="488">
        <v>5180</v>
      </c>
      <c r="L168" s="622">
        <v>401</v>
      </c>
    </row>
    <row r="169" spans="1:13" ht="13.15" customHeight="1">
      <c r="A169" s="391" t="s">
        <v>543</v>
      </c>
      <c r="B169" s="349">
        <v>20503</v>
      </c>
      <c r="C169" s="353">
        <v>18673288.399999999</v>
      </c>
      <c r="D169" s="353"/>
      <c r="E169" s="650">
        <v>9120</v>
      </c>
      <c r="F169" s="353">
        <v>638</v>
      </c>
      <c r="G169" s="353">
        <v>47932101.100000001</v>
      </c>
      <c r="H169" s="353">
        <v>9758</v>
      </c>
      <c r="I169" s="651"/>
      <c r="J169" s="497">
        <v>7168</v>
      </c>
      <c r="K169" s="488">
        <v>2303</v>
      </c>
      <c r="L169" s="622">
        <v>287</v>
      </c>
    </row>
    <row r="170" spans="1:13" ht="13.15" customHeight="1">
      <c r="A170" s="392" t="s">
        <v>546</v>
      </c>
      <c r="B170" s="353">
        <v>5769</v>
      </c>
      <c r="C170" s="353">
        <v>5137887.05</v>
      </c>
      <c r="D170" s="353"/>
      <c r="E170" s="650">
        <v>2099</v>
      </c>
      <c r="F170" s="353">
        <v>433</v>
      </c>
      <c r="G170" s="353">
        <v>23572022.399999999</v>
      </c>
      <c r="H170" s="353">
        <v>2532</v>
      </c>
      <c r="I170" s="651"/>
      <c r="J170" s="497">
        <v>1482</v>
      </c>
      <c r="K170" s="497">
        <v>960</v>
      </c>
      <c r="L170" s="624">
        <v>90</v>
      </c>
    </row>
    <row r="171" spans="1:13" ht="13.15" customHeight="1">
      <c r="A171" s="392" t="s">
        <v>549</v>
      </c>
      <c r="B171" s="353">
        <v>68268</v>
      </c>
      <c r="C171" s="353">
        <v>61784702.479999997</v>
      </c>
      <c r="D171" s="649"/>
      <c r="E171" s="650">
        <v>30017</v>
      </c>
      <c r="F171" s="353">
        <v>2787</v>
      </c>
      <c r="G171" s="353">
        <v>203341504.80000001</v>
      </c>
      <c r="H171" s="353">
        <v>32804</v>
      </c>
      <c r="I171" s="651"/>
      <c r="J171" s="497">
        <v>21586</v>
      </c>
      <c r="K171" s="497">
        <v>10258</v>
      </c>
      <c r="L171" s="624">
        <v>960</v>
      </c>
      <c r="M171" s="627"/>
    </row>
    <row r="172" spans="1:13" ht="13.15" customHeight="1">
      <c r="A172" s="391" t="s">
        <v>425</v>
      </c>
      <c r="B172" s="349">
        <v>43344</v>
      </c>
      <c r="C172" s="353">
        <v>39610256.93</v>
      </c>
      <c r="D172" s="353"/>
      <c r="E172" s="650">
        <v>16240</v>
      </c>
      <c r="F172" s="353">
        <v>3797</v>
      </c>
      <c r="G172" s="353">
        <v>163086249.71000001</v>
      </c>
      <c r="H172" s="353">
        <v>20037</v>
      </c>
      <c r="I172" s="651"/>
      <c r="J172" s="497">
        <v>12754</v>
      </c>
      <c r="K172" s="488">
        <v>6603</v>
      </c>
      <c r="L172" s="622">
        <v>680</v>
      </c>
      <c r="M172" s="627"/>
    </row>
    <row r="173" spans="1:13" ht="18">
      <c r="A173" s="416" t="s">
        <v>728</v>
      </c>
      <c r="B173" s="626"/>
      <c r="C173" s="626"/>
      <c r="D173" s="626"/>
      <c r="E173" s="626"/>
      <c r="F173" s="626"/>
      <c r="G173" s="626"/>
      <c r="H173" s="626"/>
      <c r="I173" s="626"/>
      <c r="J173" s="624"/>
      <c r="K173" s="624"/>
      <c r="L173" s="624"/>
      <c r="M173" s="627"/>
    </row>
    <row r="174" spans="1:13" ht="15.75">
      <c r="A174" s="652" t="str">
        <f>A131</f>
        <v>Exemptions, Standard and Itemized Deductions, and Number of Returns by Filing Status/Locality</v>
      </c>
      <c r="B174" s="626"/>
      <c r="C174" s="626"/>
      <c r="D174" s="626"/>
      <c r="E174" s="626"/>
      <c r="F174" s="626"/>
      <c r="G174" s="626"/>
      <c r="H174" s="626"/>
      <c r="I174" s="626"/>
      <c r="J174" s="624"/>
      <c r="K174" s="624"/>
      <c r="L174" s="624"/>
    </row>
    <row r="175" spans="1:13" ht="15.75">
      <c r="A175" s="625" t="str">
        <f>A132</f>
        <v>Taxable Year 2018</v>
      </c>
      <c r="B175" s="626"/>
      <c r="C175" s="626"/>
      <c r="D175" s="626"/>
      <c r="E175" s="626"/>
      <c r="F175" s="626"/>
      <c r="G175" s="626"/>
      <c r="H175" s="626"/>
      <c r="I175" s="626"/>
      <c r="J175" s="624"/>
      <c r="K175" s="624"/>
      <c r="L175" s="624"/>
    </row>
    <row r="176" spans="1:13" ht="13.15" customHeight="1" thickBot="1">
      <c r="A176" s="627"/>
      <c r="B176" s="653">
        <f>SUM(B150:B172)</f>
        <v>925573</v>
      </c>
      <c r="C176" s="653">
        <f>SUM(C150:C172)</f>
        <v>838197001.88999987</v>
      </c>
      <c r="D176" s="653">
        <f>SUM(D150:D171)</f>
        <v>0</v>
      </c>
      <c r="E176" s="653">
        <f>SUM(E150:E172)</f>
        <v>369800</v>
      </c>
      <c r="F176" s="653">
        <f>SUM(F150:F172)</f>
        <v>73886</v>
      </c>
      <c r="G176" s="653">
        <f>SUM(G150:G172)</f>
        <v>3698367046.3000007</v>
      </c>
      <c r="H176" s="653">
        <f>SUM(H150:H172)</f>
        <v>443686</v>
      </c>
      <c r="I176" s="653">
        <f>SUM(I150:I171)</f>
        <v>0</v>
      </c>
      <c r="J176" s="653">
        <f>SUM(J150:J172)</f>
        <v>283363</v>
      </c>
      <c r="K176" s="653">
        <f>SUM(K150:K172)</f>
        <v>141350</v>
      </c>
      <c r="L176" s="653">
        <f>SUM(L150:L172)</f>
        <v>18973</v>
      </c>
    </row>
    <row r="177" spans="1:13">
      <c r="A177" s="628"/>
      <c r="B177" s="1318" t="s">
        <v>410</v>
      </c>
      <c r="C177" s="1318"/>
      <c r="D177" s="1214"/>
      <c r="E177" s="1319" t="s">
        <v>411</v>
      </c>
      <c r="F177" s="1320"/>
      <c r="G177" s="1320"/>
      <c r="H177" s="1320"/>
      <c r="I177" s="630"/>
      <c r="J177" s="631"/>
      <c r="K177" s="632" t="s">
        <v>725</v>
      </c>
      <c r="L177" s="633"/>
      <c r="M177" s="627"/>
    </row>
    <row r="178" spans="1:13" ht="13.15" customHeight="1">
      <c r="A178" s="655"/>
      <c r="B178" s="656"/>
      <c r="C178" s="656"/>
      <c r="D178" s="656"/>
      <c r="E178" s="657"/>
      <c r="F178" s="656"/>
      <c r="G178" s="656"/>
      <c r="H178" s="658" t="s">
        <v>17</v>
      </c>
      <c r="I178" s="659"/>
      <c r="J178" s="660"/>
      <c r="K178" s="641" t="s">
        <v>985</v>
      </c>
      <c r="L178" s="641" t="s">
        <v>985</v>
      </c>
    </row>
    <row r="179" spans="1:13" ht="13.15" customHeight="1">
      <c r="A179" s="411" t="s">
        <v>25</v>
      </c>
      <c r="B179" s="642" t="s">
        <v>726</v>
      </c>
      <c r="C179" s="642" t="s">
        <v>20</v>
      </c>
      <c r="D179" s="642"/>
      <c r="E179" s="643" t="s">
        <v>407</v>
      </c>
      <c r="F179" s="642" t="s">
        <v>406</v>
      </c>
      <c r="G179" s="411" t="s">
        <v>20</v>
      </c>
      <c r="H179" s="642" t="s">
        <v>404</v>
      </c>
      <c r="I179" s="644"/>
      <c r="J179" s="645" t="s">
        <v>727</v>
      </c>
      <c r="K179" s="645" t="s">
        <v>402</v>
      </c>
      <c r="L179" s="646" t="s">
        <v>984</v>
      </c>
    </row>
    <row r="180" spans="1:13" ht="10.7" customHeight="1">
      <c r="A180" s="392"/>
      <c r="B180" s="626"/>
      <c r="C180" s="626"/>
      <c r="D180" s="626"/>
      <c r="E180" s="647"/>
      <c r="F180" s="626"/>
      <c r="G180" s="626"/>
      <c r="H180" s="626"/>
      <c r="I180" s="648"/>
      <c r="J180" s="624"/>
      <c r="K180" s="624"/>
      <c r="L180" s="622"/>
    </row>
    <row r="181" spans="1:13" ht="13.15" customHeight="1">
      <c r="A181" s="391" t="s">
        <v>429</v>
      </c>
      <c r="B181" s="349">
        <v>17478</v>
      </c>
      <c r="C181" s="649">
        <v>15973414.880000001</v>
      </c>
      <c r="D181" s="353"/>
      <c r="E181" s="650">
        <v>6825</v>
      </c>
      <c r="F181" s="353">
        <v>1497</v>
      </c>
      <c r="G181" s="649">
        <v>58157007.399999999</v>
      </c>
      <c r="H181" s="353">
        <v>8322</v>
      </c>
      <c r="I181" s="651"/>
      <c r="J181" s="497">
        <v>5397</v>
      </c>
      <c r="K181" s="488">
        <v>2614</v>
      </c>
      <c r="L181" s="622">
        <v>311</v>
      </c>
    </row>
    <row r="182" spans="1:13" ht="13.15" customHeight="1">
      <c r="A182" s="391" t="s">
        <v>433</v>
      </c>
      <c r="B182" s="349">
        <v>13205</v>
      </c>
      <c r="C182" s="353">
        <v>12018240.83</v>
      </c>
      <c r="D182" s="353"/>
      <c r="E182" s="650">
        <v>5746</v>
      </c>
      <c r="F182" s="353">
        <v>401</v>
      </c>
      <c r="G182" s="353">
        <v>42142580.200000003</v>
      </c>
      <c r="H182" s="353">
        <v>6147</v>
      </c>
      <c r="I182" s="651"/>
      <c r="J182" s="497">
        <v>4257</v>
      </c>
      <c r="K182" s="488">
        <v>1652</v>
      </c>
      <c r="L182" s="622">
        <v>238</v>
      </c>
    </row>
    <row r="183" spans="1:13" ht="13.15" customHeight="1">
      <c r="A183" s="391" t="s">
        <v>437</v>
      </c>
      <c r="B183" s="349">
        <v>158510</v>
      </c>
      <c r="C183" s="353">
        <v>143970949.06</v>
      </c>
      <c r="D183" s="353"/>
      <c r="E183" s="650">
        <v>68440</v>
      </c>
      <c r="F183" s="353">
        <v>8195</v>
      </c>
      <c r="G183" s="353">
        <v>463500983.01999998</v>
      </c>
      <c r="H183" s="353">
        <v>76635</v>
      </c>
      <c r="I183" s="651"/>
      <c r="J183" s="497">
        <v>52358</v>
      </c>
      <c r="K183" s="488">
        <v>21151</v>
      </c>
      <c r="L183" s="622">
        <v>3126</v>
      </c>
    </row>
    <row r="184" spans="1:13" ht="13.15" customHeight="1">
      <c r="A184" s="391" t="s">
        <v>441</v>
      </c>
      <c r="B184" s="349">
        <v>177923</v>
      </c>
      <c r="C184" s="353">
        <v>161439149.24000001</v>
      </c>
      <c r="D184" s="353"/>
      <c r="E184" s="650">
        <v>78371</v>
      </c>
      <c r="F184" s="353">
        <v>10543</v>
      </c>
      <c r="G184" s="353">
        <v>617716490.62</v>
      </c>
      <c r="H184" s="353">
        <v>88914</v>
      </c>
      <c r="I184" s="651"/>
      <c r="J184" s="497">
        <v>61797</v>
      </c>
      <c r="K184" s="488">
        <v>22695</v>
      </c>
      <c r="L184" s="622">
        <v>4422</v>
      </c>
    </row>
    <row r="185" spans="1:13" ht="13.15" customHeight="1">
      <c r="A185" s="391" t="s">
        <v>445</v>
      </c>
      <c r="B185" s="488">
        <v>4093</v>
      </c>
      <c r="C185" s="497">
        <v>3740358.35</v>
      </c>
      <c r="D185" s="353"/>
      <c r="E185" s="650">
        <v>1798</v>
      </c>
      <c r="F185" s="353">
        <v>66</v>
      </c>
      <c r="G185" s="353">
        <v>9574822.8000000007</v>
      </c>
      <c r="H185" s="353">
        <v>1864</v>
      </c>
      <c r="I185" s="651"/>
      <c r="J185" s="497">
        <v>1112</v>
      </c>
      <c r="K185" s="488">
        <v>697</v>
      </c>
      <c r="L185" s="622">
        <v>55</v>
      </c>
    </row>
    <row r="186" spans="1:13" ht="9" customHeight="1">
      <c r="A186" s="391"/>
      <c r="B186" s="488"/>
      <c r="C186" s="497"/>
      <c r="D186" s="353"/>
      <c r="E186" s="650"/>
      <c r="F186" s="353"/>
      <c r="G186" s="353"/>
      <c r="H186" s="353"/>
      <c r="I186" s="651"/>
      <c r="J186" s="497"/>
      <c r="K186" s="488"/>
      <c r="L186" s="622"/>
    </row>
    <row r="187" spans="1:13" ht="13.15" customHeight="1">
      <c r="A187" s="391" t="s">
        <v>449</v>
      </c>
      <c r="B187" s="349">
        <v>26526</v>
      </c>
      <c r="C187" s="353">
        <v>24119138.66</v>
      </c>
      <c r="D187" s="353"/>
      <c r="E187" s="650">
        <v>12345</v>
      </c>
      <c r="F187" s="353">
        <v>1243</v>
      </c>
      <c r="G187" s="353">
        <v>71790581.5</v>
      </c>
      <c r="H187" s="353">
        <v>13588</v>
      </c>
      <c r="I187" s="651"/>
      <c r="J187" s="497">
        <v>11035</v>
      </c>
      <c r="K187" s="488">
        <v>2088</v>
      </c>
      <c r="L187" s="622">
        <v>465</v>
      </c>
    </row>
    <row r="188" spans="1:13" ht="13.15" customHeight="1">
      <c r="A188" s="391" t="s">
        <v>453</v>
      </c>
      <c r="B188" s="349">
        <v>13257</v>
      </c>
      <c r="C188" s="353">
        <v>11961729</v>
      </c>
      <c r="D188" s="353"/>
      <c r="E188" s="650">
        <v>4315</v>
      </c>
      <c r="F188" s="353">
        <v>1163</v>
      </c>
      <c r="G188" s="353">
        <v>50013113.899999999</v>
      </c>
      <c r="H188" s="353">
        <v>5478</v>
      </c>
      <c r="I188" s="651"/>
      <c r="J188" s="497">
        <v>2632</v>
      </c>
      <c r="K188" s="488">
        <v>2686</v>
      </c>
      <c r="L188" s="622">
        <v>160</v>
      </c>
    </row>
    <row r="189" spans="1:13" ht="13.15" customHeight="1">
      <c r="A189" s="391" t="s">
        <v>457</v>
      </c>
      <c r="B189" s="349">
        <v>81900</v>
      </c>
      <c r="C189" s="353">
        <v>74546419.439999998</v>
      </c>
      <c r="D189" s="353"/>
      <c r="E189" s="650">
        <v>34408</v>
      </c>
      <c r="F189" s="353">
        <v>4844</v>
      </c>
      <c r="G189" s="353">
        <v>244075029.19999999</v>
      </c>
      <c r="H189" s="353">
        <v>39252</v>
      </c>
      <c r="I189" s="651"/>
      <c r="J189" s="497">
        <v>27599</v>
      </c>
      <c r="K189" s="488">
        <v>10104</v>
      </c>
      <c r="L189" s="622">
        <v>1549</v>
      </c>
    </row>
    <row r="190" spans="1:13" ht="13.15" customHeight="1">
      <c r="A190" s="391" t="s">
        <v>461</v>
      </c>
      <c r="B190" s="349">
        <v>10932</v>
      </c>
      <c r="C190" s="353">
        <v>9914643.0700000003</v>
      </c>
      <c r="D190" s="353"/>
      <c r="E190" s="650">
        <v>5250</v>
      </c>
      <c r="F190" s="353">
        <v>277</v>
      </c>
      <c r="G190" s="353">
        <v>33944735.700000003</v>
      </c>
      <c r="H190" s="353">
        <v>5527</v>
      </c>
      <c r="I190" s="651"/>
      <c r="J190" s="497">
        <v>3625</v>
      </c>
      <c r="K190" s="488">
        <v>1723</v>
      </c>
      <c r="L190" s="622">
        <v>179</v>
      </c>
    </row>
    <row r="191" spans="1:13" ht="13.15" customHeight="1">
      <c r="A191" s="391" t="s">
        <v>465</v>
      </c>
      <c r="B191" s="349">
        <v>184957</v>
      </c>
      <c r="C191" s="353">
        <v>167935079.86000001</v>
      </c>
      <c r="D191" s="353"/>
      <c r="E191" s="650">
        <v>87032</v>
      </c>
      <c r="F191" s="353">
        <v>13910</v>
      </c>
      <c r="G191" s="353">
        <v>1489619992.04</v>
      </c>
      <c r="H191" s="353">
        <v>100942</v>
      </c>
      <c r="I191" s="651"/>
      <c r="J191" s="497">
        <v>76382</v>
      </c>
      <c r="K191" s="488">
        <v>21393</v>
      </c>
      <c r="L191" s="622">
        <v>3167</v>
      </c>
    </row>
    <row r="192" spans="1:13" ht="10.15" customHeight="1">
      <c r="A192" s="391"/>
      <c r="B192" s="349"/>
      <c r="C192" s="353"/>
      <c r="D192" s="353"/>
      <c r="E192" s="650"/>
      <c r="F192" s="353"/>
      <c r="G192" s="353"/>
      <c r="H192" s="353"/>
      <c r="I192" s="651"/>
      <c r="J192" s="497"/>
      <c r="K192" s="488"/>
      <c r="L192" s="622"/>
    </row>
    <row r="193" spans="1:13" ht="13.15" customHeight="1">
      <c r="A193" s="391" t="s">
        <v>27</v>
      </c>
      <c r="B193" s="349">
        <v>89604</v>
      </c>
      <c r="C193" s="353">
        <v>81377652.049999997</v>
      </c>
      <c r="D193" s="353"/>
      <c r="E193" s="650">
        <v>41049</v>
      </c>
      <c r="F193" s="353">
        <v>3218</v>
      </c>
      <c r="G193" s="353">
        <v>251296379.61000001</v>
      </c>
      <c r="H193" s="353">
        <v>44267</v>
      </c>
      <c r="I193" s="651"/>
      <c r="J193" s="497">
        <v>31383</v>
      </c>
      <c r="K193" s="488">
        <v>11632</v>
      </c>
      <c r="L193" s="622">
        <v>1252</v>
      </c>
    </row>
    <row r="194" spans="1:13" ht="13.15" customHeight="1">
      <c r="A194" s="391" t="s">
        <v>473</v>
      </c>
      <c r="B194" s="349">
        <v>26287</v>
      </c>
      <c r="C194" s="353">
        <v>23788200.399999999</v>
      </c>
      <c r="D194" s="353"/>
      <c r="E194" s="650">
        <v>10617</v>
      </c>
      <c r="F194" s="353">
        <v>1202</v>
      </c>
      <c r="G194" s="353">
        <v>78266539.799999997</v>
      </c>
      <c r="H194" s="353">
        <v>11819</v>
      </c>
      <c r="I194" s="651"/>
      <c r="J194" s="497">
        <v>6956</v>
      </c>
      <c r="K194" s="488">
        <v>4558</v>
      </c>
      <c r="L194" s="622">
        <v>305</v>
      </c>
    </row>
    <row r="195" spans="1:13" ht="13.15" customHeight="1">
      <c r="A195" s="391" t="s">
        <v>477</v>
      </c>
      <c r="B195" s="349">
        <v>25133</v>
      </c>
      <c r="C195" s="353">
        <v>22686111.239999998</v>
      </c>
      <c r="D195" s="353"/>
      <c r="E195" s="650">
        <v>10944</v>
      </c>
      <c r="F195" s="353">
        <v>836</v>
      </c>
      <c r="G195" s="353">
        <v>66513168.399999999</v>
      </c>
      <c r="H195" s="353">
        <v>11780</v>
      </c>
      <c r="I195" s="651"/>
      <c r="J195" s="497">
        <v>7356</v>
      </c>
      <c r="K195" s="488">
        <v>4085</v>
      </c>
      <c r="L195" s="622">
        <v>339</v>
      </c>
    </row>
    <row r="196" spans="1:13" ht="13.15" customHeight="1">
      <c r="A196" s="391" t="s">
        <v>481</v>
      </c>
      <c r="B196" s="349">
        <v>87139</v>
      </c>
      <c r="C196" s="353">
        <v>79155595.390000001</v>
      </c>
      <c r="D196" s="353"/>
      <c r="E196" s="650">
        <v>31129</v>
      </c>
      <c r="F196" s="353">
        <v>7539</v>
      </c>
      <c r="G196" s="353">
        <v>361652406.10000002</v>
      </c>
      <c r="H196" s="353">
        <v>38668</v>
      </c>
      <c r="I196" s="651"/>
      <c r="J196" s="497">
        <v>22382</v>
      </c>
      <c r="K196" s="488">
        <v>14506</v>
      </c>
      <c r="L196" s="622">
        <v>1780</v>
      </c>
    </row>
    <row r="197" spans="1:13" ht="10.7" customHeight="1">
      <c r="A197" s="391"/>
      <c r="B197" s="349"/>
      <c r="C197" s="353"/>
      <c r="D197" s="353"/>
      <c r="E197" s="650"/>
      <c r="F197" s="353"/>
      <c r="G197" s="353"/>
      <c r="H197" s="353"/>
      <c r="I197" s="651"/>
      <c r="J197" s="497"/>
      <c r="K197" s="488"/>
      <c r="L197" s="622"/>
    </row>
    <row r="198" spans="1:13" ht="13.15" customHeight="1">
      <c r="A198" s="391" t="s">
        <v>28</v>
      </c>
      <c r="B198" s="349">
        <v>429214</v>
      </c>
      <c r="C198" s="353">
        <v>388442499.37</v>
      </c>
      <c r="D198" s="353"/>
      <c r="E198" s="650">
        <v>166445</v>
      </c>
      <c r="F198" s="353">
        <v>33666</v>
      </c>
      <c r="G198" s="353">
        <v>1681764874.4100001</v>
      </c>
      <c r="H198" s="353">
        <v>200111</v>
      </c>
      <c r="I198" s="651"/>
      <c r="J198" s="497">
        <v>119308</v>
      </c>
      <c r="K198" s="488">
        <v>71625</v>
      </c>
      <c r="L198" s="622">
        <v>9178</v>
      </c>
    </row>
    <row r="199" spans="1:13" ht="13.15" customHeight="1">
      <c r="A199" s="391" t="s">
        <v>486</v>
      </c>
      <c r="B199" s="349">
        <v>21391</v>
      </c>
      <c r="C199" s="353">
        <v>19398058.199999999</v>
      </c>
      <c r="D199" s="353"/>
      <c r="E199" s="650">
        <v>9311</v>
      </c>
      <c r="F199" s="353">
        <v>641</v>
      </c>
      <c r="G199" s="353">
        <v>53106712.700000003</v>
      </c>
      <c r="H199" s="353">
        <v>9952</v>
      </c>
      <c r="I199" s="651"/>
      <c r="J199" s="497">
        <v>6436</v>
      </c>
      <c r="K199" s="488">
        <v>3256</v>
      </c>
      <c r="L199" s="622">
        <v>260</v>
      </c>
    </row>
    <row r="200" spans="1:13" ht="13.15" customHeight="1">
      <c r="A200" s="392" t="s">
        <v>489</v>
      </c>
      <c r="B200" s="353">
        <v>12810</v>
      </c>
      <c r="C200" s="353">
        <v>11411486.99</v>
      </c>
      <c r="D200" s="353"/>
      <c r="E200" s="650">
        <v>5279</v>
      </c>
      <c r="F200" s="353">
        <v>1051</v>
      </c>
      <c r="G200" s="353">
        <v>79067709.239999995</v>
      </c>
      <c r="H200" s="353">
        <v>6330</v>
      </c>
      <c r="I200" s="651"/>
      <c r="J200" s="497">
        <v>4052</v>
      </c>
      <c r="K200" s="497">
        <v>1969</v>
      </c>
      <c r="L200" s="624">
        <v>309</v>
      </c>
    </row>
    <row r="201" spans="1:13" ht="13.15" customHeight="1">
      <c r="A201" s="392" t="s">
        <v>492</v>
      </c>
      <c r="B201" s="353">
        <v>27698</v>
      </c>
      <c r="C201" s="353">
        <v>24988441.550000001</v>
      </c>
      <c r="D201" s="353"/>
      <c r="E201" s="650">
        <v>11881</v>
      </c>
      <c r="F201" s="353">
        <v>1467</v>
      </c>
      <c r="G201" s="353">
        <v>88695419.200000003</v>
      </c>
      <c r="H201" s="353">
        <v>13348</v>
      </c>
      <c r="I201" s="651"/>
      <c r="J201" s="497">
        <v>9094</v>
      </c>
      <c r="K201" s="497">
        <v>3878</v>
      </c>
      <c r="L201" s="624">
        <v>376</v>
      </c>
      <c r="M201" s="627"/>
    </row>
    <row r="202" spans="1:13" ht="10.7" customHeight="1">
      <c r="A202" s="350"/>
      <c r="B202" s="680"/>
      <c r="C202" s="680"/>
      <c r="D202" s="681"/>
      <c r="E202" s="682"/>
      <c r="F202" s="680"/>
      <c r="G202" s="680"/>
      <c r="H202" s="680"/>
      <c r="I202" s="681"/>
      <c r="J202" s="683"/>
      <c r="K202" s="683"/>
      <c r="L202" s="684"/>
      <c r="M202" s="627"/>
    </row>
    <row r="203" spans="1:13" ht="15" customHeight="1">
      <c r="A203" s="432" t="s">
        <v>29</v>
      </c>
      <c r="B203" s="685">
        <f>SUM(B181:B201)+B176</f>
        <v>2333630</v>
      </c>
      <c r="C203" s="685">
        <f>SUM(C181:C201)+C176</f>
        <v>2115064169.47</v>
      </c>
      <c r="D203" s="686"/>
      <c r="E203" s="685">
        <f>SUM(E181:E201)+E176</f>
        <v>960985</v>
      </c>
      <c r="F203" s="685">
        <f>SUM(F181:F201)+F176</f>
        <v>165645</v>
      </c>
      <c r="G203" s="685">
        <f>SUM(G181:G201)+G176</f>
        <v>9439265592.1400013</v>
      </c>
      <c r="H203" s="685">
        <f>SUM(H181:H201)+H176</f>
        <v>1126630</v>
      </c>
      <c r="I203" s="673"/>
      <c r="J203" s="685">
        <f>SUM(J181:J201)+J176</f>
        <v>736524</v>
      </c>
      <c r="K203" s="685">
        <f>SUM(K181:K201)+K176</f>
        <v>343662</v>
      </c>
      <c r="L203" s="685">
        <f>SUM(L181:L201)+L176</f>
        <v>46444</v>
      </c>
    </row>
    <row r="204" spans="1:13" ht="15" customHeight="1">
      <c r="A204" s="429" t="s">
        <v>24</v>
      </c>
      <c r="B204" s="670">
        <f>B144</f>
        <v>6151894</v>
      </c>
      <c r="C204" s="687">
        <f>C144</f>
        <v>5577402454.6200008</v>
      </c>
      <c r="D204" s="671"/>
      <c r="E204" s="672">
        <f t="shared" ref="E204:L204" si="4">E144</f>
        <v>2167048</v>
      </c>
      <c r="F204" s="670">
        <f t="shared" si="4"/>
        <v>537911</v>
      </c>
      <c r="G204" s="430">
        <f t="shared" si="4"/>
        <v>25364249647.560005</v>
      </c>
      <c r="H204" s="670">
        <f t="shared" si="4"/>
        <v>2704959</v>
      </c>
      <c r="I204" s="673"/>
      <c r="J204" s="674">
        <f t="shared" si="4"/>
        <v>1498829</v>
      </c>
      <c r="K204" s="674">
        <f t="shared" si="4"/>
        <v>1117881</v>
      </c>
      <c r="L204" s="674">
        <f t="shared" si="4"/>
        <v>88249</v>
      </c>
    </row>
    <row r="205" spans="1:13" ht="15" customHeight="1">
      <c r="A205" s="429" t="s">
        <v>722</v>
      </c>
      <c r="B205" s="670">
        <v>309378</v>
      </c>
      <c r="C205" s="687">
        <v>213503007.88999999</v>
      </c>
      <c r="D205" s="671"/>
      <c r="E205" s="672">
        <v>116569</v>
      </c>
      <c r="F205" s="670">
        <v>41665</v>
      </c>
      <c r="G205" s="430">
        <v>16418811635.58</v>
      </c>
      <c r="H205" s="670">
        <v>158234</v>
      </c>
      <c r="I205" s="673"/>
      <c r="J205" s="674">
        <v>86943</v>
      </c>
      <c r="K205" s="674">
        <v>44883</v>
      </c>
      <c r="L205" s="1127">
        <v>26408</v>
      </c>
    </row>
    <row r="206" spans="1:13" ht="13.15" customHeight="1">
      <c r="A206" s="432"/>
      <c r="B206" s="685"/>
      <c r="C206" s="430"/>
      <c r="D206" s="686"/>
      <c r="E206" s="688"/>
      <c r="F206" s="685"/>
      <c r="G206" s="689"/>
      <c r="H206" s="670"/>
      <c r="I206" s="690"/>
      <c r="J206" s="691"/>
      <c r="K206" s="691"/>
      <c r="L206" s="624"/>
    </row>
    <row r="207" spans="1:13" ht="15" customHeight="1">
      <c r="A207" s="429" t="s">
        <v>30</v>
      </c>
      <c r="B207" s="670">
        <f>SUM(B203:B205)</f>
        <v>8794902</v>
      </c>
      <c r="C207" s="430">
        <f>SUM(C203:C205)</f>
        <v>7905969631.9800014</v>
      </c>
      <c r="D207" s="671"/>
      <c r="E207" s="670">
        <f>SUM(E203:E205)</f>
        <v>3244602</v>
      </c>
      <c r="F207" s="670">
        <f>SUM(F203:F205)</f>
        <v>745221</v>
      </c>
      <c r="G207" s="430">
        <f>SUM(G203:G205)</f>
        <v>51222326875.280006</v>
      </c>
      <c r="H207" s="670">
        <f>SUM(H203:H205)</f>
        <v>3989823</v>
      </c>
      <c r="I207" s="673"/>
      <c r="J207" s="674">
        <f>SUM(J203:J205)</f>
        <v>2322296</v>
      </c>
      <c r="K207" s="674">
        <f>SUM(K203:K205)</f>
        <v>1506426</v>
      </c>
      <c r="L207" s="674">
        <f>SUM(L203:L205)</f>
        <v>161101</v>
      </c>
    </row>
    <row r="208" spans="1:13" ht="13.15" customHeight="1">
      <c r="A208" s="434"/>
      <c r="B208" s="626"/>
      <c r="C208" s="434"/>
      <c r="D208" s="434"/>
      <c r="E208" s="626"/>
      <c r="F208" s="626"/>
      <c r="G208" s="434"/>
      <c r="H208" s="626"/>
      <c r="I208" s="626"/>
      <c r="J208" s="624"/>
      <c r="K208" s="624"/>
      <c r="L208" s="499"/>
    </row>
    <row r="209" spans="1:12" ht="13.15" customHeight="1">
      <c r="A209" s="400" t="s">
        <v>1</v>
      </c>
      <c r="B209" s="621"/>
      <c r="C209" s="621"/>
      <c r="D209" s="621"/>
      <c r="E209" s="408"/>
      <c r="F209" s="408"/>
      <c r="G209" s="408"/>
      <c r="H209" s="408"/>
      <c r="I209" s="408"/>
      <c r="J209" s="623"/>
      <c r="K209" s="623"/>
      <c r="L209" s="623"/>
    </row>
    <row r="210" spans="1:12" ht="14.25" customHeight="1">
      <c r="A210" s="692" t="s">
        <v>983</v>
      </c>
      <c r="B210" s="692"/>
      <c r="C210" s="692"/>
      <c r="D210" s="692"/>
      <c r="E210" s="692"/>
      <c r="F210" s="692"/>
      <c r="G210" s="692"/>
      <c r="H210" s="692"/>
      <c r="I210" s="692"/>
      <c r="J210" s="693"/>
      <c r="K210" s="693"/>
      <c r="L210" s="693"/>
    </row>
    <row r="211" spans="1:12">
      <c r="A211" s="400" t="s">
        <v>729</v>
      </c>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134:C134"/>
    <mergeCell ref="E134:H134"/>
    <mergeCell ref="B146:C146"/>
    <mergeCell ref="E146:H146"/>
    <mergeCell ref="B177:C177"/>
    <mergeCell ref="E177:H177"/>
    <mergeCell ref="B5:C5"/>
    <mergeCell ref="E5:H5"/>
    <mergeCell ref="B48:C48"/>
    <mergeCell ref="E48:H48"/>
    <mergeCell ref="B91:C91"/>
    <mergeCell ref="E91:H91"/>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9"/>
  <sheetViews>
    <sheetView showOutlineSymbols="0" zoomScaleNormal="100" workbookViewId="0">
      <pane xSplit="1" topLeftCell="B1" activePane="topRight" state="frozen"/>
      <selection activeCell="C33" sqref="C33"/>
      <selection pane="topRight"/>
    </sheetView>
  </sheetViews>
  <sheetFormatPr defaultColWidth="10.7109375" defaultRowHeight="15"/>
  <cols>
    <col min="1" max="1" width="18.28515625" style="422" customWidth="1"/>
    <col min="2" max="2" width="19.140625" style="352" customWidth="1"/>
    <col min="3" max="3" width="18.28515625" style="422" bestFit="1" customWidth="1"/>
    <col min="4" max="4" width="17.7109375" style="422" bestFit="1" customWidth="1"/>
    <col min="5" max="5" width="19.140625" style="422" bestFit="1" customWidth="1"/>
    <col min="6" max="6" width="20" style="422" customWidth="1"/>
    <col min="7" max="7" width="17.85546875" style="422" customWidth="1"/>
    <col min="8" max="16384" width="10.7109375" style="422"/>
  </cols>
  <sheetData>
    <row r="1" spans="1:8" ht="18">
      <c r="A1" s="695" t="s">
        <v>730</v>
      </c>
      <c r="B1" s="696"/>
      <c r="C1" s="696"/>
      <c r="D1" s="696"/>
      <c r="E1" s="696"/>
      <c r="F1" s="696"/>
      <c r="G1" s="696"/>
    </row>
    <row r="2" spans="1:8" ht="15.75">
      <c r="A2" s="403" t="s">
        <v>731</v>
      </c>
      <c r="B2" s="696"/>
      <c r="C2" s="696"/>
      <c r="D2" s="696"/>
      <c r="E2" s="696"/>
      <c r="F2" s="696"/>
      <c r="G2" s="696"/>
    </row>
    <row r="3" spans="1:8" ht="15.75">
      <c r="A3" s="625" t="str">
        <f>'Table 1.2'!A3</f>
        <v>Taxable Year 2018</v>
      </c>
      <c r="B3" s="696"/>
      <c r="C3" s="696"/>
      <c r="D3" s="696"/>
      <c r="E3" s="696"/>
      <c r="F3" s="696"/>
      <c r="G3" s="696"/>
    </row>
    <row r="4" spans="1:8" ht="13.15" customHeight="1" thickBot="1">
      <c r="A4" s="627"/>
      <c r="B4" s="697"/>
      <c r="C4" s="697"/>
      <c r="D4" s="697"/>
      <c r="E4" s="697"/>
      <c r="F4" s="697"/>
      <c r="G4" s="697"/>
    </row>
    <row r="5" spans="1:8">
      <c r="A5" s="698"/>
      <c r="B5" s="698" t="s">
        <v>732</v>
      </c>
      <c r="C5" s="698" t="s">
        <v>733</v>
      </c>
      <c r="D5" s="698" t="s">
        <v>734</v>
      </c>
      <c r="E5" s="698" t="s">
        <v>734</v>
      </c>
      <c r="F5" s="698" t="s">
        <v>734</v>
      </c>
      <c r="G5" s="698" t="s">
        <v>735</v>
      </c>
      <c r="H5" s="627"/>
    </row>
    <row r="6" spans="1:8" ht="13.15" customHeight="1">
      <c r="A6" s="699" t="s">
        <v>23</v>
      </c>
      <c r="B6" s="699" t="s">
        <v>736</v>
      </c>
      <c r="C6" s="699" t="s">
        <v>737</v>
      </c>
      <c r="D6" s="699" t="s">
        <v>738</v>
      </c>
      <c r="E6" s="699" t="s">
        <v>739</v>
      </c>
      <c r="F6" s="699" t="s">
        <v>740</v>
      </c>
      <c r="G6" s="699" t="s">
        <v>741</v>
      </c>
    </row>
    <row r="7" spans="1:8" ht="10.7" customHeight="1">
      <c r="A7" s="697"/>
      <c r="B7" s="697"/>
      <c r="C7" s="697"/>
      <c r="D7" s="697"/>
      <c r="E7" s="697"/>
      <c r="F7" s="697"/>
      <c r="G7" s="697"/>
    </row>
    <row r="8" spans="1:8" ht="13.15" customHeight="1">
      <c r="A8" s="352" t="s">
        <v>422</v>
      </c>
      <c r="B8" s="700">
        <v>567936891.38</v>
      </c>
      <c r="C8" s="700">
        <v>38133613.560000002</v>
      </c>
      <c r="D8" s="700">
        <v>24404959.350000001</v>
      </c>
      <c r="E8" s="700">
        <v>128410732.62</v>
      </c>
      <c r="F8" s="700">
        <v>376987585.85000002</v>
      </c>
      <c r="G8" s="700">
        <v>29008813.789999999</v>
      </c>
    </row>
    <row r="9" spans="1:8" ht="13.15" customHeight="1">
      <c r="A9" s="352" t="s">
        <v>426</v>
      </c>
      <c r="B9" s="352">
        <v>5047845386.2299995</v>
      </c>
      <c r="C9" s="352">
        <v>118150766.38</v>
      </c>
      <c r="D9" s="352">
        <v>78224267.840000004</v>
      </c>
      <c r="E9" s="352">
        <v>446143172.87</v>
      </c>
      <c r="F9" s="352">
        <v>4405327179.1400003</v>
      </c>
      <c r="G9" s="352">
        <v>277035283.75999999</v>
      </c>
    </row>
    <row r="10" spans="1:8" ht="13.15" customHeight="1">
      <c r="A10" s="352" t="s">
        <v>430</v>
      </c>
      <c r="B10" s="352">
        <v>263190340.87</v>
      </c>
      <c r="C10" s="352">
        <v>14756372.470000001</v>
      </c>
      <c r="D10" s="352">
        <v>9681457</v>
      </c>
      <c r="E10" s="352">
        <v>53644738.479999997</v>
      </c>
      <c r="F10" s="352">
        <v>185107772.91999999</v>
      </c>
      <c r="G10" s="352">
        <v>13561824.869999999</v>
      </c>
    </row>
    <row r="11" spans="1:8" ht="13.15" customHeight="1">
      <c r="A11" s="352" t="s">
        <v>434</v>
      </c>
      <c r="B11" s="352">
        <v>261244490.69999999</v>
      </c>
      <c r="C11" s="352">
        <v>13570284</v>
      </c>
      <c r="D11" s="352">
        <v>8978160.5800000001</v>
      </c>
      <c r="E11" s="352">
        <v>50292182.200000003</v>
      </c>
      <c r="F11" s="352">
        <v>188403863.91999999</v>
      </c>
      <c r="G11" s="352">
        <v>13559622.960000001</v>
      </c>
    </row>
    <row r="12" spans="1:8" ht="13.15" customHeight="1">
      <c r="A12" s="352" t="s">
        <v>438</v>
      </c>
      <c r="B12" s="352">
        <v>514756221.64999998</v>
      </c>
      <c r="C12" s="352">
        <v>29606412.329999998</v>
      </c>
      <c r="D12" s="352">
        <v>19657237</v>
      </c>
      <c r="E12" s="352">
        <v>109935733.15000001</v>
      </c>
      <c r="F12" s="352">
        <v>355556839.17000002</v>
      </c>
      <c r="G12" s="352">
        <v>26383172.059999999</v>
      </c>
    </row>
    <row r="13" spans="1:8" ht="10.7" customHeight="1">
      <c r="A13" s="352"/>
      <c r="C13" s="352"/>
      <c r="D13" s="352"/>
      <c r="E13" s="352"/>
      <c r="F13" s="352"/>
      <c r="G13" s="352"/>
    </row>
    <row r="14" spans="1:8" ht="13.15" customHeight="1">
      <c r="A14" s="352" t="s">
        <v>442</v>
      </c>
      <c r="B14" s="352">
        <v>261262860.09</v>
      </c>
      <c r="C14" s="352">
        <v>14679240</v>
      </c>
      <c r="D14" s="352">
        <v>9732578.8499999996</v>
      </c>
      <c r="E14" s="352">
        <v>54243903.369999997</v>
      </c>
      <c r="F14" s="352">
        <v>182607137.87</v>
      </c>
      <c r="G14" s="352">
        <v>13411540.5</v>
      </c>
    </row>
    <row r="15" spans="1:8" ht="13.15" customHeight="1">
      <c r="A15" s="352" t="s">
        <v>446</v>
      </c>
      <c r="B15" s="352">
        <v>14247439093.84</v>
      </c>
      <c r="C15" s="352">
        <v>341026719.14999998</v>
      </c>
      <c r="D15" s="352">
        <v>225310101.56999999</v>
      </c>
      <c r="E15" s="352">
        <v>1301471407.5999999</v>
      </c>
      <c r="F15" s="352">
        <v>12379630865.52</v>
      </c>
      <c r="G15" s="352">
        <v>784239146.65999997</v>
      </c>
    </row>
    <row r="16" spans="1:8" ht="13.15" customHeight="1">
      <c r="A16" s="352" t="s">
        <v>450</v>
      </c>
      <c r="B16" s="352">
        <v>1582786815.3099999</v>
      </c>
      <c r="C16" s="352">
        <v>77325261.980000004</v>
      </c>
      <c r="D16" s="352">
        <v>51290401.210000001</v>
      </c>
      <c r="E16" s="352">
        <v>290655364.19999999</v>
      </c>
      <c r="F16" s="352">
        <v>1163515787.9200001</v>
      </c>
      <c r="G16" s="352">
        <v>82329731.159999996</v>
      </c>
    </row>
    <row r="17" spans="1:7" ht="13.15" customHeight="1">
      <c r="A17" s="352" t="s">
        <v>454</v>
      </c>
      <c r="B17" s="352">
        <v>91780367.280000001</v>
      </c>
      <c r="C17" s="352">
        <v>4982469</v>
      </c>
      <c r="D17" s="352">
        <v>3270532</v>
      </c>
      <c r="E17" s="352">
        <v>17926225.199999999</v>
      </c>
      <c r="F17" s="352">
        <v>65601141.079999998</v>
      </c>
      <c r="G17" s="352">
        <v>4747796.82</v>
      </c>
    </row>
    <row r="18" spans="1:7" ht="13.15" customHeight="1">
      <c r="A18" s="352" t="s">
        <v>458</v>
      </c>
      <c r="B18" s="352">
        <v>1866647992.9200001</v>
      </c>
      <c r="C18" s="352">
        <v>78266136.400000006</v>
      </c>
      <c r="D18" s="352">
        <v>51952278.159999996</v>
      </c>
      <c r="E18" s="352">
        <v>294193047.14999998</v>
      </c>
      <c r="F18" s="352">
        <v>1442236531.21</v>
      </c>
      <c r="G18" s="352">
        <v>98464023.819999993</v>
      </c>
    </row>
    <row r="19" spans="1:7" ht="10.7" customHeight="1">
      <c r="A19" s="352"/>
      <c r="C19" s="352"/>
      <c r="D19" s="352"/>
      <c r="E19" s="352"/>
      <c r="F19" s="352"/>
      <c r="G19" s="352"/>
    </row>
    <row r="20" spans="1:7" ht="13.15" customHeight="1">
      <c r="A20" s="352" t="s">
        <v>462</v>
      </c>
      <c r="B20" s="352">
        <v>91373375.590000004</v>
      </c>
      <c r="C20" s="352">
        <v>5273277</v>
      </c>
      <c r="D20" s="352">
        <v>3486610</v>
      </c>
      <c r="E20" s="352">
        <v>19580416.600000001</v>
      </c>
      <c r="F20" s="352">
        <v>63033071.990000002</v>
      </c>
      <c r="G20" s="352">
        <v>4668062.1900000004</v>
      </c>
    </row>
    <row r="21" spans="1:7" ht="13.15" customHeight="1">
      <c r="A21" s="352" t="s">
        <v>466</v>
      </c>
      <c r="B21" s="352">
        <v>885220118.50999999</v>
      </c>
      <c r="C21" s="352">
        <v>33072389</v>
      </c>
      <c r="D21" s="352">
        <v>21963743</v>
      </c>
      <c r="E21" s="352">
        <v>125227997.75</v>
      </c>
      <c r="F21" s="352">
        <v>704955988.75999999</v>
      </c>
      <c r="G21" s="352">
        <v>47059592.960000001</v>
      </c>
    </row>
    <row r="22" spans="1:7" ht="13.15" customHeight="1">
      <c r="A22" s="352" t="s">
        <v>470</v>
      </c>
      <c r="B22" s="352">
        <v>205995587.78</v>
      </c>
      <c r="C22" s="352">
        <v>13151149.9</v>
      </c>
      <c r="D22" s="352">
        <v>8648257.0700000003</v>
      </c>
      <c r="E22" s="352">
        <v>46558545.899999999</v>
      </c>
      <c r="F22" s="352">
        <v>137637634.91</v>
      </c>
      <c r="G22" s="352">
        <v>10556665.630000001</v>
      </c>
    </row>
    <row r="23" spans="1:7" ht="13.15" customHeight="1">
      <c r="A23" s="352" t="s">
        <v>474</v>
      </c>
      <c r="B23" s="352">
        <v>230073037.38</v>
      </c>
      <c r="C23" s="352">
        <v>13383869</v>
      </c>
      <c r="D23" s="352">
        <v>8845815</v>
      </c>
      <c r="E23" s="352">
        <v>49005169.399999999</v>
      </c>
      <c r="F23" s="352">
        <v>158838183.97999999</v>
      </c>
      <c r="G23" s="352">
        <v>11828192.609999999</v>
      </c>
    </row>
    <row r="24" spans="1:7" ht="13.15" customHeight="1">
      <c r="A24" s="352" t="s">
        <v>478</v>
      </c>
      <c r="B24" s="352">
        <v>210334669.31999999</v>
      </c>
      <c r="C24" s="352">
        <v>13117732.789999999</v>
      </c>
      <c r="D24" s="352">
        <v>8700076</v>
      </c>
      <c r="E24" s="352">
        <v>47998560.030000001</v>
      </c>
      <c r="F24" s="352">
        <v>140518300.5</v>
      </c>
      <c r="G24" s="352">
        <v>10738216.720000001</v>
      </c>
    </row>
    <row r="25" spans="1:7" ht="10.7" customHeight="1">
      <c r="A25" s="352"/>
      <c r="C25" s="352"/>
      <c r="D25" s="352"/>
      <c r="E25" s="352"/>
      <c r="F25" s="352"/>
      <c r="G25" s="352"/>
    </row>
    <row r="26" spans="1:7" ht="13.15" customHeight="1">
      <c r="A26" s="352" t="s">
        <v>482</v>
      </c>
      <c r="B26" s="352">
        <v>952809755.90999997</v>
      </c>
      <c r="C26" s="352">
        <v>52349812.899999999</v>
      </c>
      <c r="D26" s="352">
        <v>34697705</v>
      </c>
      <c r="E26" s="352">
        <v>193612801.55000001</v>
      </c>
      <c r="F26" s="352">
        <v>672149436.46000004</v>
      </c>
      <c r="G26" s="352">
        <v>49106976.18</v>
      </c>
    </row>
    <row r="27" spans="1:7" ht="13.15" customHeight="1">
      <c r="A27" s="352" t="s">
        <v>484</v>
      </c>
      <c r="B27" s="352">
        <v>603956752.22000003</v>
      </c>
      <c r="C27" s="352">
        <v>31729575</v>
      </c>
      <c r="D27" s="352">
        <v>21052591</v>
      </c>
      <c r="E27" s="352">
        <v>118138800.88</v>
      </c>
      <c r="F27" s="352">
        <v>433035785.33999997</v>
      </c>
      <c r="G27" s="352">
        <v>31378627.489999998</v>
      </c>
    </row>
    <row r="28" spans="1:7" ht="13.15" customHeight="1">
      <c r="A28" s="352" t="s">
        <v>487</v>
      </c>
      <c r="B28" s="352">
        <v>381134985.61000001</v>
      </c>
      <c r="C28" s="352">
        <v>24813339</v>
      </c>
      <c r="D28" s="352">
        <v>16372027.73</v>
      </c>
      <c r="E28" s="352">
        <v>90485947.5</v>
      </c>
      <c r="F28" s="352">
        <v>249463671.38</v>
      </c>
      <c r="G28" s="352">
        <v>19244052.82</v>
      </c>
    </row>
    <row r="29" spans="1:7" ht="13.15" customHeight="1">
      <c r="A29" s="352" t="s">
        <v>490</v>
      </c>
      <c r="B29" s="352">
        <v>149702356.72</v>
      </c>
      <c r="C29" s="352">
        <v>7612226</v>
      </c>
      <c r="D29" s="352">
        <v>5039080</v>
      </c>
      <c r="E29" s="352">
        <v>28054625</v>
      </c>
      <c r="F29" s="352">
        <v>108996425.72</v>
      </c>
      <c r="G29" s="352">
        <v>7819606.1600000001</v>
      </c>
    </row>
    <row r="30" spans="1:7" ht="13.15" customHeight="1">
      <c r="A30" s="352" t="s">
        <v>493</v>
      </c>
      <c r="B30" s="352">
        <v>169690842.13</v>
      </c>
      <c r="C30" s="352">
        <v>10418948.050000001</v>
      </c>
      <c r="D30" s="352">
        <v>6865904.2000000002</v>
      </c>
      <c r="E30" s="352">
        <v>37625601</v>
      </c>
      <c r="F30" s="352">
        <v>114780388.88</v>
      </c>
      <c r="G30" s="352">
        <v>8681587.0600000005</v>
      </c>
    </row>
    <row r="31" spans="1:7" ht="10.7" customHeight="1">
      <c r="A31" s="352"/>
      <c r="C31" s="352"/>
      <c r="D31" s="352"/>
      <c r="E31" s="352"/>
      <c r="F31" s="352"/>
      <c r="G31" s="352"/>
    </row>
    <row r="32" spans="1:7" ht="13.15" customHeight="1">
      <c r="A32" s="352" t="s">
        <v>495</v>
      </c>
      <c r="B32" s="352">
        <v>9955556464.4699993</v>
      </c>
      <c r="C32" s="352">
        <v>379202814.27999997</v>
      </c>
      <c r="D32" s="352">
        <v>251854990</v>
      </c>
      <c r="E32" s="352">
        <v>1429223880.54</v>
      </c>
      <c r="F32" s="352">
        <v>7895274779.6499996</v>
      </c>
      <c r="G32" s="352">
        <v>530597060.27999997</v>
      </c>
    </row>
    <row r="33" spans="1:8" ht="13.15" customHeight="1">
      <c r="A33" s="352" t="s">
        <v>498</v>
      </c>
      <c r="B33" s="352">
        <v>521485506.33999997</v>
      </c>
      <c r="C33" s="352">
        <v>16802419</v>
      </c>
      <c r="D33" s="352">
        <v>11104627</v>
      </c>
      <c r="E33" s="352">
        <v>63134365.899999999</v>
      </c>
      <c r="F33" s="352">
        <v>430444094.44</v>
      </c>
      <c r="G33" s="352">
        <v>28115206.030000001</v>
      </c>
    </row>
    <row r="34" spans="1:8" ht="13.15" customHeight="1">
      <c r="A34" s="352" t="s">
        <v>500</v>
      </c>
      <c r="B34" s="352">
        <v>80322588.900000006</v>
      </c>
      <c r="C34" s="352">
        <v>4694838</v>
      </c>
      <c r="D34" s="352">
        <v>3109162</v>
      </c>
      <c r="E34" s="352">
        <v>17448870.899999999</v>
      </c>
      <c r="F34" s="352">
        <v>55069718</v>
      </c>
      <c r="G34" s="352">
        <v>4094940.52</v>
      </c>
    </row>
    <row r="35" spans="1:8" ht="13.15" customHeight="1">
      <c r="A35" s="352" t="s">
        <v>503</v>
      </c>
      <c r="B35" s="352">
        <v>1208558659.6300001</v>
      </c>
      <c r="C35" s="352">
        <v>52456124.32</v>
      </c>
      <c r="D35" s="352">
        <v>34798444</v>
      </c>
      <c r="E35" s="352">
        <v>196115081.03999999</v>
      </c>
      <c r="F35" s="352">
        <v>925189010.26999998</v>
      </c>
      <c r="G35" s="352">
        <v>63799327.18</v>
      </c>
    </row>
    <row r="36" spans="1:8" ht="13.15" customHeight="1">
      <c r="A36" s="352" t="s">
        <v>506</v>
      </c>
      <c r="B36" s="352">
        <v>134845119.91999999</v>
      </c>
      <c r="C36" s="352">
        <v>8743822.1199999992</v>
      </c>
      <c r="D36" s="352">
        <v>5773783</v>
      </c>
      <c r="E36" s="352">
        <v>31705837.5</v>
      </c>
      <c r="F36" s="352">
        <v>88621677.299999997</v>
      </c>
      <c r="G36" s="352">
        <v>6857841.1299999999</v>
      </c>
    </row>
    <row r="37" spans="1:8" ht="10.7" customHeight="1">
      <c r="A37" s="352"/>
      <c r="C37" s="352"/>
      <c r="D37" s="352"/>
      <c r="E37" s="352"/>
      <c r="F37" s="352"/>
      <c r="G37" s="352"/>
    </row>
    <row r="38" spans="1:8" ht="13.15" customHeight="1">
      <c r="A38" s="352" t="s">
        <v>509</v>
      </c>
      <c r="B38" s="352">
        <v>147777182</v>
      </c>
      <c r="C38" s="352">
        <v>9106354</v>
      </c>
      <c r="D38" s="352">
        <v>6025479</v>
      </c>
      <c r="E38" s="352">
        <v>33529598</v>
      </c>
      <c r="F38" s="352">
        <v>99115751</v>
      </c>
      <c r="G38" s="352">
        <v>7508135.0800000001</v>
      </c>
    </row>
    <row r="39" spans="1:8" ht="13.15" customHeight="1">
      <c r="A39" s="352" t="s">
        <v>512</v>
      </c>
      <c r="B39" s="352">
        <v>497761582.42000002</v>
      </c>
      <c r="C39" s="352">
        <v>27433753.600000001</v>
      </c>
      <c r="D39" s="352">
        <v>18219446.329999998</v>
      </c>
      <c r="E39" s="352">
        <v>101654039.14</v>
      </c>
      <c r="F39" s="352">
        <v>350454343.35000002</v>
      </c>
      <c r="G39" s="352">
        <v>25757632.02</v>
      </c>
    </row>
    <row r="40" spans="1:8" ht="13.15" customHeight="1">
      <c r="A40" s="352" t="s">
        <v>515</v>
      </c>
      <c r="B40" s="352">
        <v>193368316.74000001</v>
      </c>
      <c r="C40" s="352">
        <v>11148514</v>
      </c>
      <c r="D40" s="352">
        <v>7380244</v>
      </c>
      <c r="E40" s="352">
        <v>40574276.700000003</v>
      </c>
      <c r="F40" s="352">
        <v>134265282.03999999</v>
      </c>
      <c r="G40" s="352">
        <v>9985975.4199999999</v>
      </c>
    </row>
    <row r="41" spans="1:8" ht="13.15" customHeight="1">
      <c r="A41" s="701" t="s">
        <v>518</v>
      </c>
      <c r="B41" s="701">
        <v>57557143368.349998</v>
      </c>
      <c r="C41" s="701">
        <v>1332588963.23</v>
      </c>
      <c r="D41" s="701">
        <v>883155309.76999998</v>
      </c>
      <c r="E41" s="701">
        <v>5062048550.54</v>
      </c>
      <c r="F41" s="701">
        <v>50279350544.809998</v>
      </c>
      <c r="G41" s="701">
        <v>3161336675.02</v>
      </c>
    </row>
    <row r="42" spans="1:8" ht="13.15" customHeight="1">
      <c r="A42" s="701" t="s">
        <v>521</v>
      </c>
      <c r="B42" s="701">
        <v>2859660777.3000002</v>
      </c>
      <c r="C42" s="701">
        <v>80742273.469999999</v>
      </c>
      <c r="D42" s="701">
        <v>53644224.200000003</v>
      </c>
      <c r="E42" s="701">
        <v>307319015.5</v>
      </c>
      <c r="F42" s="701">
        <v>2417955264.1300001</v>
      </c>
      <c r="G42" s="701">
        <v>155325411.19999999</v>
      </c>
      <c r="H42" s="627"/>
    </row>
    <row r="43" spans="1:8" ht="18">
      <c r="A43" s="702" t="s">
        <v>742</v>
      </c>
      <c r="B43" s="697"/>
      <c r="C43" s="697"/>
      <c r="D43" s="697"/>
      <c r="E43" s="697"/>
      <c r="F43" s="697"/>
      <c r="G43" s="697"/>
      <c r="H43" s="627"/>
    </row>
    <row r="44" spans="1:8" ht="15.75">
      <c r="A44" s="625" t="s">
        <v>731</v>
      </c>
      <c r="B44" s="697"/>
      <c r="C44" s="697"/>
      <c r="D44" s="697"/>
      <c r="E44" s="697"/>
      <c r="F44" s="697"/>
      <c r="G44" s="697"/>
    </row>
    <row r="45" spans="1:8" ht="15.75">
      <c r="A45" s="625" t="str">
        <f>A3</f>
        <v>Taxable Year 2018</v>
      </c>
      <c r="B45" s="696"/>
      <c r="C45" s="696"/>
      <c r="D45" s="696"/>
      <c r="E45" s="696"/>
      <c r="F45" s="696"/>
      <c r="G45" s="696"/>
    </row>
    <row r="46" spans="1:8" ht="13.15" customHeight="1" thickBot="1">
      <c r="A46" s="627"/>
      <c r="B46" s="697"/>
      <c r="C46" s="697"/>
      <c r="D46" s="697"/>
      <c r="E46" s="697"/>
      <c r="F46" s="697"/>
      <c r="G46" s="697"/>
    </row>
    <row r="47" spans="1:8">
      <c r="A47" s="698"/>
      <c r="B47" s="698" t="s">
        <v>732</v>
      </c>
      <c r="C47" s="698" t="s">
        <v>733</v>
      </c>
      <c r="D47" s="698" t="s">
        <v>734</v>
      </c>
      <c r="E47" s="698" t="s">
        <v>734</v>
      </c>
      <c r="F47" s="698" t="s">
        <v>734</v>
      </c>
      <c r="G47" s="698" t="s">
        <v>735</v>
      </c>
      <c r="H47" s="627"/>
    </row>
    <row r="48" spans="1:8" ht="13.15" customHeight="1">
      <c r="A48" s="699" t="s">
        <v>23</v>
      </c>
      <c r="B48" s="699" t="s">
        <v>736</v>
      </c>
      <c r="C48" s="699" t="s">
        <v>737</v>
      </c>
      <c r="D48" s="699" t="s">
        <v>738</v>
      </c>
      <c r="E48" s="699" t="s">
        <v>739</v>
      </c>
      <c r="F48" s="699" t="s">
        <v>740</v>
      </c>
      <c r="G48" s="699" t="s">
        <v>741</v>
      </c>
    </row>
    <row r="49" spans="1:7" ht="10.7" customHeight="1">
      <c r="A49" s="701"/>
      <c r="B49" s="697"/>
      <c r="C49" s="697"/>
      <c r="D49" s="697"/>
      <c r="E49" s="697"/>
      <c r="F49" s="697"/>
      <c r="G49" s="697"/>
    </row>
    <row r="50" spans="1:7" ht="13.15" customHeight="1">
      <c r="A50" s="352" t="s">
        <v>524</v>
      </c>
      <c r="B50" s="700">
        <v>248516025.05000001</v>
      </c>
      <c r="C50" s="700">
        <v>13705338</v>
      </c>
      <c r="D50" s="700">
        <v>9104885</v>
      </c>
      <c r="E50" s="700">
        <v>50944805.200000003</v>
      </c>
      <c r="F50" s="700">
        <v>174760996.84999999</v>
      </c>
      <c r="G50" s="700">
        <v>12756766.08</v>
      </c>
    </row>
    <row r="51" spans="1:7" ht="13.15" customHeight="1">
      <c r="A51" s="352" t="s">
        <v>526</v>
      </c>
      <c r="B51" s="352">
        <v>593781264.16999996</v>
      </c>
      <c r="C51" s="352">
        <v>27471549</v>
      </c>
      <c r="D51" s="352">
        <v>18256077</v>
      </c>
      <c r="E51" s="352">
        <v>104028691.72</v>
      </c>
      <c r="F51" s="352">
        <v>444024946.44999999</v>
      </c>
      <c r="G51" s="352">
        <v>31056890.920000002</v>
      </c>
    </row>
    <row r="52" spans="1:7" ht="13.15" customHeight="1">
      <c r="A52" s="352" t="s">
        <v>529</v>
      </c>
      <c r="B52" s="352">
        <v>1010868105.39</v>
      </c>
      <c r="C52" s="352">
        <v>50035763.719999999</v>
      </c>
      <c r="D52" s="352">
        <v>33169493.739999998</v>
      </c>
      <c r="E52" s="352">
        <v>186586895.06</v>
      </c>
      <c r="F52" s="352">
        <v>741075952.87</v>
      </c>
      <c r="G52" s="352">
        <v>52637286.729999997</v>
      </c>
    </row>
    <row r="53" spans="1:7" ht="13.15" customHeight="1">
      <c r="A53" s="352" t="s">
        <v>531</v>
      </c>
      <c r="B53" s="352">
        <v>2373244159.6500001</v>
      </c>
      <c r="C53" s="352">
        <v>97414590.5</v>
      </c>
      <c r="D53" s="352">
        <v>64622493.560000002</v>
      </c>
      <c r="E53" s="352">
        <v>367351280.63999999</v>
      </c>
      <c r="F53" s="352">
        <v>1843855794.95</v>
      </c>
      <c r="G53" s="352">
        <v>125669245.05</v>
      </c>
    </row>
    <row r="54" spans="1:7" ht="13.15" customHeight="1">
      <c r="A54" s="352" t="s">
        <v>534</v>
      </c>
      <c r="B54" s="352">
        <v>275188686.77999997</v>
      </c>
      <c r="C54" s="352">
        <v>15657391</v>
      </c>
      <c r="D54" s="352">
        <v>10383984</v>
      </c>
      <c r="E54" s="352">
        <v>58299386.479999997</v>
      </c>
      <c r="F54" s="352">
        <v>190847925.30000001</v>
      </c>
      <c r="G54" s="352">
        <v>14113637.119999999</v>
      </c>
    </row>
    <row r="55" spans="1:7" ht="10.7" customHeight="1">
      <c r="A55" s="352"/>
      <c r="C55" s="352"/>
      <c r="D55" s="352"/>
      <c r="E55" s="352"/>
      <c r="F55" s="352"/>
      <c r="G55" s="352"/>
    </row>
    <row r="56" spans="1:7" ht="13.15" customHeight="1">
      <c r="A56" s="352" t="s">
        <v>537</v>
      </c>
      <c r="B56" s="488">
        <v>828887049.66999996</v>
      </c>
      <c r="C56" s="488">
        <v>39941378.43</v>
      </c>
      <c r="D56" s="488">
        <v>26513726</v>
      </c>
      <c r="E56" s="488">
        <v>149335391.47999999</v>
      </c>
      <c r="F56" s="488">
        <v>613096553.75999999</v>
      </c>
      <c r="G56" s="488">
        <v>43263170.390000001</v>
      </c>
    </row>
    <row r="57" spans="1:7" ht="13.15" customHeight="1">
      <c r="A57" s="352" t="s">
        <v>539</v>
      </c>
      <c r="B57" s="352">
        <v>1389648328.1500001</v>
      </c>
      <c r="C57" s="352">
        <v>26601969</v>
      </c>
      <c r="D57" s="352">
        <v>17684843</v>
      </c>
      <c r="E57" s="352">
        <v>101740909.45999999</v>
      </c>
      <c r="F57" s="352">
        <v>1243620606.6900001</v>
      </c>
      <c r="G57" s="352">
        <v>76774695.049999997</v>
      </c>
    </row>
    <row r="58" spans="1:7" ht="13.15" customHeight="1">
      <c r="A58" s="352" t="s">
        <v>541</v>
      </c>
      <c r="B58" s="352">
        <v>191991472.94999999</v>
      </c>
      <c r="C58" s="352">
        <v>12773802.869999999</v>
      </c>
      <c r="D58" s="352">
        <v>8432711</v>
      </c>
      <c r="E58" s="352">
        <v>46686332.299999997</v>
      </c>
      <c r="F58" s="352">
        <v>124098626.78</v>
      </c>
      <c r="G58" s="352">
        <v>9675183.8399999999</v>
      </c>
    </row>
    <row r="59" spans="1:7" ht="13.15" customHeight="1">
      <c r="A59" s="352" t="s">
        <v>544</v>
      </c>
      <c r="B59" s="352">
        <v>423497339.38999999</v>
      </c>
      <c r="C59" s="352">
        <v>20317386.870000001</v>
      </c>
      <c r="D59" s="352">
        <v>13479384.130000001</v>
      </c>
      <c r="E59" s="352">
        <v>76086876.599999994</v>
      </c>
      <c r="F59" s="352">
        <v>313613691.79000002</v>
      </c>
      <c r="G59" s="352">
        <v>22093835.379999999</v>
      </c>
    </row>
    <row r="60" spans="1:7" ht="13.15" customHeight="1">
      <c r="A60" s="352" t="s">
        <v>547</v>
      </c>
      <c r="B60" s="352">
        <v>157607335.38</v>
      </c>
      <c r="C60" s="352">
        <v>11151476</v>
      </c>
      <c r="D60" s="352">
        <v>7243154.2000000002</v>
      </c>
      <c r="E60" s="352">
        <v>38472372.950000003</v>
      </c>
      <c r="F60" s="352">
        <v>100740332.23</v>
      </c>
      <c r="G60" s="352">
        <v>8008257.7199999997</v>
      </c>
    </row>
    <row r="61" spans="1:7" ht="10.7" customHeight="1">
      <c r="A61" s="352"/>
      <c r="C61" s="352"/>
      <c r="D61" s="352"/>
      <c r="E61" s="352"/>
      <c r="F61" s="352"/>
      <c r="G61" s="352"/>
    </row>
    <row r="62" spans="1:7" ht="13.15" customHeight="1">
      <c r="A62" s="352" t="s">
        <v>423</v>
      </c>
      <c r="B62" s="352">
        <v>517873281.23000002</v>
      </c>
      <c r="C62" s="352">
        <v>31006108.350000001</v>
      </c>
      <c r="D62" s="352">
        <v>20497387.809999999</v>
      </c>
      <c r="E62" s="352">
        <v>112042168.04000001</v>
      </c>
      <c r="F62" s="352">
        <v>354327617.02999997</v>
      </c>
      <c r="G62" s="352">
        <v>26620753.16</v>
      </c>
    </row>
    <row r="63" spans="1:7" ht="13.15" customHeight="1">
      <c r="A63" s="352" t="s">
        <v>427</v>
      </c>
      <c r="B63" s="352">
        <v>3493452584.8000002</v>
      </c>
      <c r="C63" s="352">
        <v>119996801.02</v>
      </c>
      <c r="D63" s="352">
        <v>79719011.010000005</v>
      </c>
      <c r="E63" s="352">
        <v>455371346.58999997</v>
      </c>
      <c r="F63" s="352">
        <v>2838365426.1799998</v>
      </c>
      <c r="G63" s="352">
        <v>186932117.5</v>
      </c>
    </row>
    <row r="64" spans="1:7" ht="13.15" customHeight="1">
      <c r="A64" s="352" t="s">
        <v>431</v>
      </c>
      <c r="B64" s="352">
        <v>10042754435.51</v>
      </c>
      <c r="C64" s="352">
        <v>366755189.89999998</v>
      </c>
      <c r="D64" s="352">
        <v>243480602.86000001</v>
      </c>
      <c r="E64" s="352">
        <v>1373634481.49</v>
      </c>
      <c r="F64" s="352">
        <v>8058884161.2600002</v>
      </c>
      <c r="G64" s="352">
        <v>538632739.99000001</v>
      </c>
    </row>
    <row r="65" spans="1:7" ht="13.15" customHeight="1">
      <c r="A65" s="352" t="s">
        <v>435</v>
      </c>
      <c r="B65" s="352">
        <v>716937476.61000001</v>
      </c>
      <c r="C65" s="352">
        <v>46089906.240000002</v>
      </c>
      <c r="D65" s="352">
        <v>30444510.239999998</v>
      </c>
      <c r="E65" s="352">
        <v>166873446.08000001</v>
      </c>
      <c r="F65" s="352">
        <v>473529614.05000001</v>
      </c>
      <c r="G65" s="352">
        <v>36484596.520000003</v>
      </c>
    </row>
    <row r="66" spans="1:7" ht="13.15" customHeight="1">
      <c r="A66" s="352" t="s">
        <v>439</v>
      </c>
      <c r="B66" s="352">
        <v>37774814.200000003</v>
      </c>
      <c r="C66" s="352">
        <v>2011590</v>
      </c>
      <c r="D66" s="352">
        <v>1331300</v>
      </c>
      <c r="E66" s="352">
        <v>7461505.4000000004</v>
      </c>
      <c r="F66" s="352">
        <v>26970418.800000001</v>
      </c>
      <c r="G66" s="352">
        <v>1953451.16</v>
      </c>
    </row>
    <row r="67" spans="1:7" ht="10.7" customHeight="1">
      <c r="A67" s="352"/>
      <c r="C67" s="352"/>
      <c r="D67" s="352"/>
      <c r="E67" s="352"/>
      <c r="F67" s="352"/>
      <c r="G67" s="352"/>
    </row>
    <row r="68" spans="1:7" ht="13.15" customHeight="1">
      <c r="A68" s="352" t="s">
        <v>443</v>
      </c>
      <c r="B68" s="352">
        <v>979919111.14999998</v>
      </c>
      <c r="C68" s="352">
        <v>39566118</v>
      </c>
      <c r="D68" s="352">
        <v>26240027</v>
      </c>
      <c r="E68" s="352">
        <v>148467235.59999999</v>
      </c>
      <c r="F68" s="352">
        <v>765645730.54999995</v>
      </c>
      <c r="G68" s="352">
        <v>51956523.530000001</v>
      </c>
    </row>
    <row r="69" spans="1:7" ht="13.15" customHeight="1">
      <c r="A69" s="352" t="s">
        <v>447</v>
      </c>
      <c r="B69" s="352">
        <v>2671080256.71</v>
      </c>
      <c r="C69" s="352">
        <v>83922415.840000004</v>
      </c>
      <c r="D69" s="352">
        <v>55666224</v>
      </c>
      <c r="E69" s="352">
        <v>316745404.19999999</v>
      </c>
      <c r="F69" s="352">
        <v>2214746212.6700001</v>
      </c>
      <c r="G69" s="352">
        <v>143981475.30000001</v>
      </c>
    </row>
    <row r="70" spans="1:7" ht="13.15" customHeight="1">
      <c r="A70" s="352" t="s">
        <v>451</v>
      </c>
      <c r="B70" s="352">
        <v>130130577.23</v>
      </c>
      <c r="C70" s="352">
        <v>7024718</v>
      </c>
      <c r="D70" s="352">
        <v>4651625</v>
      </c>
      <c r="E70" s="352">
        <v>25868013.23</v>
      </c>
      <c r="F70" s="352">
        <v>92586221</v>
      </c>
      <c r="G70" s="352">
        <v>6760944.3099999996</v>
      </c>
    </row>
    <row r="71" spans="1:7" ht="13.15" customHeight="1">
      <c r="A71" s="352" t="s">
        <v>455</v>
      </c>
      <c r="B71" s="352">
        <v>727851958.36000001</v>
      </c>
      <c r="C71" s="352">
        <v>28305983.289999999</v>
      </c>
      <c r="D71" s="352">
        <v>18719059.52</v>
      </c>
      <c r="E71" s="352">
        <v>105707835.64</v>
      </c>
      <c r="F71" s="352">
        <v>575119079.90999997</v>
      </c>
      <c r="G71" s="352">
        <v>38750742.549999997</v>
      </c>
    </row>
    <row r="72" spans="1:7" ht="13.15" customHeight="1">
      <c r="A72" s="352" t="s">
        <v>459</v>
      </c>
      <c r="B72" s="352">
        <v>380194450.25</v>
      </c>
      <c r="C72" s="352">
        <v>18819990</v>
      </c>
      <c r="D72" s="352">
        <v>12467266.58</v>
      </c>
      <c r="E72" s="352">
        <v>70883243.700000003</v>
      </c>
      <c r="F72" s="352">
        <v>278023949.97000003</v>
      </c>
      <c r="G72" s="352">
        <v>19764389.170000002</v>
      </c>
    </row>
    <row r="73" spans="1:7" ht="10.7" customHeight="1">
      <c r="A73" s="696"/>
      <c r="C73" s="352"/>
      <c r="D73" s="352"/>
      <c r="E73" s="352"/>
      <c r="F73" s="352"/>
      <c r="G73" s="352"/>
    </row>
    <row r="74" spans="1:7" ht="13.15" customHeight="1">
      <c r="A74" s="352" t="s">
        <v>463</v>
      </c>
      <c r="B74" s="352">
        <v>274508570.77999997</v>
      </c>
      <c r="C74" s="352">
        <v>11448802</v>
      </c>
      <c r="D74" s="352">
        <v>7562640</v>
      </c>
      <c r="E74" s="352">
        <v>41618706.060000002</v>
      </c>
      <c r="F74" s="352">
        <v>213878422.72</v>
      </c>
      <c r="G74" s="352">
        <v>14569841.09</v>
      </c>
    </row>
    <row r="75" spans="1:7" ht="13.15" customHeight="1">
      <c r="A75" s="352" t="s">
        <v>467</v>
      </c>
      <c r="B75" s="352">
        <v>217954212.38</v>
      </c>
      <c r="C75" s="352">
        <v>14952923.949999999</v>
      </c>
      <c r="D75" s="352">
        <v>9863751</v>
      </c>
      <c r="E75" s="352">
        <v>53959468.850000001</v>
      </c>
      <c r="F75" s="352">
        <v>139178068.58000001</v>
      </c>
      <c r="G75" s="352">
        <v>10954419.82</v>
      </c>
    </row>
    <row r="76" spans="1:7" ht="13.15" customHeight="1">
      <c r="A76" s="352" t="s">
        <v>471</v>
      </c>
      <c r="B76" s="352">
        <v>19760285945.810001</v>
      </c>
      <c r="C76" s="352">
        <v>455204899.22000003</v>
      </c>
      <c r="D76" s="352">
        <v>302226490.07999998</v>
      </c>
      <c r="E76" s="352">
        <v>1748449441.6900001</v>
      </c>
      <c r="F76" s="352">
        <v>17254405114.82</v>
      </c>
      <c r="G76" s="352">
        <v>1083062432.98</v>
      </c>
    </row>
    <row r="77" spans="1:7" ht="13.15" customHeight="1">
      <c r="A77" s="352" t="s">
        <v>475</v>
      </c>
      <c r="B77" s="352">
        <v>824828291.25</v>
      </c>
      <c r="C77" s="352">
        <v>37737290.420000002</v>
      </c>
      <c r="D77" s="352">
        <v>25072742</v>
      </c>
      <c r="E77" s="352">
        <v>141599159.86000001</v>
      </c>
      <c r="F77" s="352">
        <v>620419098.97000003</v>
      </c>
      <c r="G77" s="352">
        <v>43321232.600000001</v>
      </c>
    </row>
    <row r="78" spans="1:7" ht="13.15" customHeight="1">
      <c r="A78" s="352" t="s">
        <v>479</v>
      </c>
      <c r="B78" s="352">
        <v>146038188.91</v>
      </c>
      <c r="C78" s="352">
        <v>9441877.8300000001</v>
      </c>
      <c r="D78" s="352">
        <v>6271260</v>
      </c>
      <c r="E78" s="352">
        <v>34665984.700000003</v>
      </c>
      <c r="F78" s="352">
        <v>95659066.379999995</v>
      </c>
      <c r="G78" s="352">
        <v>7424186.2699999996</v>
      </c>
    </row>
    <row r="79" spans="1:7" ht="10.7" customHeight="1">
      <c r="A79" s="352"/>
      <c r="C79" s="352"/>
      <c r="D79" s="352"/>
      <c r="E79" s="352"/>
      <c r="F79" s="352"/>
      <c r="G79" s="352"/>
    </row>
    <row r="80" spans="1:7" ht="13.15" customHeight="1">
      <c r="A80" s="352" t="s">
        <v>483</v>
      </c>
      <c r="B80" s="352">
        <v>279467820.63999999</v>
      </c>
      <c r="C80" s="352">
        <v>12730113</v>
      </c>
      <c r="D80" s="352">
        <v>8433998</v>
      </c>
      <c r="E80" s="352">
        <v>47607585.200000003</v>
      </c>
      <c r="F80" s="352">
        <v>210696124.44</v>
      </c>
      <c r="G80" s="352">
        <v>14647812.470000001</v>
      </c>
    </row>
    <row r="81" spans="1:8" ht="13.15" customHeight="1">
      <c r="A81" s="352" t="s">
        <v>485</v>
      </c>
      <c r="B81" s="352">
        <v>206382149.96000001</v>
      </c>
      <c r="C81" s="352">
        <v>8816753</v>
      </c>
      <c r="D81" s="352">
        <v>5858644</v>
      </c>
      <c r="E81" s="352">
        <v>33165993.5</v>
      </c>
      <c r="F81" s="352">
        <v>158540759.46000001</v>
      </c>
      <c r="G81" s="352">
        <v>10886713.630000001</v>
      </c>
    </row>
    <row r="82" spans="1:8" ht="13.15" customHeight="1">
      <c r="A82" s="352" t="s">
        <v>488</v>
      </c>
      <c r="B82" s="352">
        <v>483130509.63999999</v>
      </c>
      <c r="C82" s="352">
        <v>28861877.210000001</v>
      </c>
      <c r="D82" s="352">
        <v>19004575.170000002</v>
      </c>
      <c r="E82" s="352">
        <v>102873696.66</v>
      </c>
      <c r="F82" s="352">
        <v>332390360.60000002</v>
      </c>
      <c r="G82" s="352">
        <v>24860772.98</v>
      </c>
    </row>
    <row r="83" spans="1:8" ht="13.15" customHeight="1">
      <c r="A83" s="701" t="s">
        <v>491</v>
      </c>
      <c r="B83" s="701">
        <v>229907968.75</v>
      </c>
      <c r="C83" s="701">
        <v>10286146</v>
      </c>
      <c r="D83" s="701">
        <v>6805752.6299999999</v>
      </c>
      <c r="E83" s="701">
        <v>37849417.700000003</v>
      </c>
      <c r="F83" s="701">
        <v>174966652.41999999</v>
      </c>
      <c r="G83" s="701">
        <v>12107470.199999999</v>
      </c>
    </row>
    <row r="84" spans="1:8" ht="13.15" customHeight="1">
      <c r="A84" s="701" t="s">
        <v>494</v>
      </c>
      <c r="B84" s="701">
        <v>2098290093.3299999</v>
      </c>
      <c r="C84" s="701">
        <v>83963414.469999999</v>
      </c>
      <c r="D84" s="701">
        <v>55431312.539999999</v>
      </c>
      <c r="E84" s="701">
        <v>309551354.06999999</v>
      </c>
      <c r="F84" s="701">
        <v>1649344012.25</v>
      </c>
      <c r="G84" s="701">
        <v>111595825.20999999</v>
      </c>
      <c r="H84" s="627"/>
    </row>
    <row r="85" spans="1:8" s="705" customFormat="1" ht="18">
      <c r="A85" s="702" t="s">
        <v>742</v>
      </c>
      <c r="B85" s="703"/>
      <c r="C85" s="703"/>
      <c r="D85" s="703"/>
      <c r="E85" s="703"/>
      <c r="F85" s="703"/>
      <c r="G85" s="703"/>
      <c r="H85" s="704"/>
    </row>
    <row r="86" spans="1:8" ht="15.75">
      <c r="A86" s="625" t="s">
        <v>731</v>
      </c>
      <c r="B86" s="697"/>
      <c r="C86" s="697"/>
      <c r="D86" s="697"/>
      <c r="E86" s="697"/>
      <c r="F86" s="697"/>
      <c r="G86" s="697"/>
    </row>
    <row r="87" spans="1:8" ht="15.75">
      <c r="A87" s="625" t="str">
        <f>A3</f>
        <v>Taxable Year 2018</v>
      </c>
      <c r="B87" s="696"/>
      <c r="C87" s="696"/>
      <c r="D87" s="696"/>
      <c r="E87" s="696"/>
      <c r="F87" s="696"/>
      <c r="G87" s="696"/>
    </row>
    <row r="88" spans="1:8" ht="13.15" customHeight="1" thickBot="1">
      <c r="A88" s="627"/>
      <c r="B88" s="697"/>
      <c r="C88" s="697"/>
      <c r="D88" s="697"/>
      <c r="E88" s="697"/>
      <c r="F88" s="697"/>
      <c r="G88" s="697"/>
    </row>
    <row r="89" spans="1:8">
      <c r="A89" s="698"/>
      <c r="B89" s="698" t="s">
        <v>732</v>
      </c>
      <c r="C89" s="698" t="s">
        <v>733</v>
      </c>
      <c r="D89" s="698" t="s">
        <v>734</v>
      </c>
      <c r="E89" s="698" t="s">
        <v>734</v>
      </c>
      <c r="F89" s="698" t="s">
        <v>734</v>
      </c>
      <c r="G89" s="698" t="s">
        <v>735</v>
      </c>
      <c r="H89" s="627"/>
    </row>
    <row r="90" spans="1:8" ht="13.15" customHeight="1">
      <c r="A90" s="699" t="s">
        <v>23</v>
      </c>
      <c r="B90" s="699" t="s">
        <v>736</v>
      </c>
      <c r="C90" s="699" t="s">
        <v>737</v>
      </c>
      <c r="D90" s="699" t="s">
        <v>738</v>
      </c>
      <c r="E90" s="699" t="s">
        <v>739</v>
      </c>
      <c r="F90" s="699" t="s">
        <v>740</v>
      </c>
      <c r="G90" s="699" t="s">
        <v>741</v>
      </c>
    </row>
    <row r="91" spans="1:8" ht="10.7" customHeight="1">
      <c r="A91" s="701"/>
      <c r="B91" s="697"/>
      <c r="C91" s="697"/>
      <c r="D91" s="697"/>
      <c r="E91" s="697"/>
      <c r="F91" s="697"/>
      <c r="G91" s="697"/>
    </row>
    <row r="92" spans="1:8" ht="13.15" customHeight="1">
      <c r="A92" s="352" t="s">
        <v>496</v>
      </c>
      <c r="B92" s="201">
        <v>345045874.60000002</v>
      </c>
      <c r="C92" s="201">
        <v>15694750</v>
      </c>
      <c r="D92" s="201">
        <v>10401825</v>
      </c>
      <c r="E92" s="201">
        <v>58423114.140000001</v>
      </c>
      <c r="F92" s="201">
        <v>260526185.46000001</v>
      </c>
      <c r="G92" s="201">
        <v>18126070.309999999</v>
      </c>
    </row>
    <row r="93" spans="1:8" ht="13.15" customHeight="1">
      <c r="A93" s="352" t="s">
        <v>499</v>
      </c>
      <c r="B93" s="202">
        <v>630193779.95000005</v>
      </c>
      <c r="C93" s="202">
        <v>24432518</v>
      </c>
      <c r="D93" s="202">
        <v>16229678</v>
      </c>
      <c r="E93" s="202">
        <v>92962001.480000004</v>
      </c>
      <c r="F93" s="202">
        <v>496569582.47000003</v>
      </c>
      <c r="G93" s="202">
        <v>33381005.039999999</v>
      </c>
    </row>
    <row r="94" spans="1:8" ht="13.15" customHeight="1">
      <c r="A94" s="352" t="s">
        <v>501</v>
      </c>
      <c r="B94" s="202">
        <v>229349956.81</v>
      </c>
      <c r="C94" s="202">
        <v>11495626.15</v>
      </c>
      <c r="D94" s="202">
        <v>7591952.6200000001</v>
      </c>
      <c r="E94" s="202">
        <v>41126720.829999998</v>
      </c>
      <c r="F94" s="202">
        <v>169135657.21000001</v>
      </c>
      <c r="G94" s="202">
        <v>12029097.59</v>
      </c>
    </row>
    <row r="95" spans="1:8" ht="13.15" customHeight="1">
      <c r="A95" s="352" t="s">
        <v>504</v>
      </c>
      <c r="B95" s="202">
        <v>279860846.16000003</v>
      </c>
      <c r="C95" s="202">
        <v>12121307.949999999</v>
      </c>
      <c r="D95" s="202">
        <v>8019176</v>
      </c>
      <c r="E95" s="202">
        <v>44373130.909999996</v>
      </c>
      <c r="F95" s="202">
        <v>215347231.30000001</v>
      </c>
      <c r="G95" s="202">
        <v>14783413.02</v>
      </c>
    </row>
    <row r="96" spans="1:8" ht="13.15" customHeight="1">
      <c r="A96" s="352" t="s">
        <v>507</v>
      </c>
      <c r="B96" s="202">
        <v>199733464.99000001</v>
      </c>
      <c r="C96" s="202">
        <v>12337423</v>
      </c>
      <c r="D96" s="202">
        <v>8165735</v>
      </c>
      <c r="E96" s="202">
        <v>44710732.18</v>
      </c>
      <c r="F96" s="202">
        <v>134519574.81</v>
      </c>
      <c r="G96" s="202">
        <v>10230271.25</v>
      </c>
    </row>
    <row r="97" spans="1:7" ht="10.7" customHeight="1">
      <c r="A97" s="352"/>
      <c r="C97" s="352"/>
      <c r="D97" s="352"/>
      <c r="E97" s="352"/>
      <c r="F97" s="352"/>
      <c r="G97" s="352"/>
    </row>
    <row r="98" spans="1:7" ht="13.15" customHeight="1">
      <c r="A98" s="352" t="s">
        <v>510</v>
      </c>
      <c r="B98" s="202">
        <v>826204385.05999994</v>
      </c>
      <c r="C98" s="202">
        <v>38762809.380000003</v>
      </c>
      <c r="D98" s="202">
        <v>25718938</v>
      </c>
      <c r="E98" s="202">
        <v>145763858.81999999</v>
      </c>
      <c r="F98" s="202">
        <v>615958778.86000001</v>
      </c>
      <c r="G98" s="202">
        <v>43324986.350000001</v>
      </c>
    </row>
    <row r="99" spans="1:7" ht="13.15" customHeight="1">
      <c r="A99" s="352" t="s">
        <v>513</v>
      </c>
      <c r="B99" s="202">
        <v>379718259.52999997</v>
      </c>
      <c r="C99" s="202">
        <v>22727632.059999999</v>
      </c>
      <c r="D99" s="202">
        <v>15087393</v>
      </c>
      <c r="E99" s="202">
        <v>84194650.060000002</v>
      </c>
      <c r="F99" s="202">
        <v>257708584.41</v>
      </c>
      <c r="G99" s="202">
        <v>19400472.420000002</v>
      </c>
    </row>
    <row r="100" spans="1:7" ht="13.15" customHeight="1">
      <c r="A100" s="352" t="s">
        <v>516</v>
      </c>
      <c r="B100" s="202">
        <v>222985384.28999999</v>
      </c>
      <c r="C100" s="202">
        <v>14094064.07</v>
      </c>
      <c r="D100" s="202">
        <v>9283676.0099999998</v>
      </c>
      <c r="E100" s="202">
        <v>51237436.299999997</v>
      </c>
      <c r="F100" s="202">
        <v>148370207.91</v>
      </c>
      <c r="G100" s="202">
        <v>11317126.619999999</v>
      </c>
    </row>
    <row r="101" spans="1:7" ht="13.15" customHeight="1">
      <c r="A101" s="352" t="s">
        <v>519</v>
      </c>
      <c r="B101" s="202">
        <v>991361252.94000006</v>
      </c>
      <c r="C101" s="202">
        <v>56174393.149999999</v>
      </c>
      <c r="D101" s="202">
        <v>37242952.310000002</v>
      </c>
      <c r="E101" s="202">
        <v>206199290.53</v>
      </c>
      <c r="F101" s="202">
        <v>691744616.95000005</v>
      </c>
      <c r="G101" s="202">
        <v>51036841.479999997</v>
      </c>
    </row>
    <row r="102" spans="1:7" ht="13.15" customHeight="1">
      <c r="A102" s="352" t="s">
        <v>522</v>
      </c>
      <c r="B102" s="202">
        <v>940191272.22000003</v>
      </c>
      <c r="C102" s="202">
        <v>31303909</v>
      </c>
      <c r="D102" s="202">
        <v>20817571</v>
      </c>
      <c r="E102" s="202">
        <v>119926766.06999999</v>
      </c>
      <c r="F102" s="202">
        <v>768143026.14999998</v>
      </c>
      <c r="G102" s="202">
        <v>50371299.009999998</v>
      </c>
    </row>
    <row r="103" spans="1:7" ht="10.7" customHeight="1">
      <c r="A103" s="352"/>
      <c r="C103" s="352"/>
      <c r="D103" s="352"/>
      <c r="E103" s="352"/>
      <c r="F103" s="352"/>
      <c r="G103" s="352"/>
    </row>
    <row r="104" spans="1:7" ht="13.15" customHeight="1">
      <c r="A104" s="352" t="s">
        <v>525</v>
      </c>
      <c r="B104" s="202">
        <v>267872030.61000001</v>
      </c>
      <c r="C104" s="202">
        <v>16509410</v>
      </c>
      <c r="D104" s="202">
        <v>10924510</v>
      </c>
      <c r="E104" s="202">
        <v>59351188.600000001</v>
      </c>
      <c r="F104" s="202">
        <v>181086922.00999999</v>
      </c>
      <c r="G104" s="202">
        <v>13716378.789999999</v>
      </c>
    </row>
    <row r="105" spans="1:7" ht="13.15" customHeight="1">
      <c r="A105" s="352" t="s">
        <v>527</v>
      </c>
      <c r="B105" s="202">
        <v>661424830.42999995</v>
      </c>
      <c r="C105" s="202">
        <v>32248921.66</v>
      </c>
      <c r="D105" s="202">
        <v>21273468.16</v>
      </c>
      <c r="E105" s="202">
        <v>118591377.63</v>
      </c>
      <c r="F105" s="202">
        <v>489311062.98000002</v>
      </c>
      <c r="G105" s="202">
        <v>34584500.009999998</v>
      </c>
    </row>
    <row r="106" spans="1:7" ht="13.15" customHeight="1">
      <c r="A106" s="352" t="s">
        <v>530</v>
      </c>
      <c r="B106" s="202">
        <v>13930791696.030001</v>
      </c>
      <c r="C106" s="202">
        <v>515053413.92000002</v>
      </c>
      <c r="D106" s="202">
        <v>341993644.12</v>
      </c>
      <c r="E106" s="202">
        <v>1943095849.0599999</v>
      </c>
      <c r="F106" s="202">
        <v>11130648788.93</v>
      </c>
      <c r="G106" s="202">
        <v>745302557.47000003</v>
      </c>
    </row>
    <row r="107" spans="1:7" ht="13.15" customHeight="1">
      <c r="A107" s="352" t="s">
        <v>532</v>
      </c>
      <c r="B107" s="202">
        <v>561298357.96000004</v>
      </c>
      <c r="C107" s="202">
        <v>30672220</v>
      </c>
      <c r="D107" s="202">
        <v>20376302.41</v>
      </c>
      <c r="E107" s="202">
        <v>114227894.88</v>
      </c>
      <c r="F107" s="202">
        <v>396021940.67000002</v>
      </c>
      <c r="G107" s="202">
        <v>28946774.77</v>
      </c>
    </row>
    <row r="108" spans="1:7" ht="13.15" customHeight="1">
      <c r="A108" s="352" t="s">
        <v>535</v>
      </c>
      <c r="B108" s="202">
        <v>279950213.43000001</v>
      </c>
      <c r="C108" s="202">
        <v>7919492</v>
      </c>
      <c r="D108" s="202">
        <v>5239676</v>
      </c>
      <c r="E108" s="202">
        <v>29713025.300000001</v>
      </c>
      <c r="F108" s="202">
        <v>237078020.13</v>
      </c>
      <c r="G108" s="202">
        <v>15227871.27</v>
      </c>
    </row>
    <row r="109" spans="1:7" ht="10.7" customHeight="1">
      <c r="A109" s="352"/>
      <c r="C109" s="352"/>
      <c r="D109" s="352"/>
      <c r="E109" s="352"/>
      <c r="F109" s="352"/>
      <c r="G109" s="352"/>
    </row>
    <row r="110" spans="1:7" ht="13.15" customHeight="1">
      <c r="A110" s="352" t="s">
        <v>465</v>
      </c>
      <c r="B110" s="504">
        <v>203129170.93000001</v>
      </c>
      <c r="C110" s="504">
        <v>12481784.619999999</v>
      </c>
      <c r="D110" s="504">
        <v>7607255.7999999998</v>
      </c>
      <c r="E110" s="504">
        <v>38784282.090000004</v>
      </c>
      <c r="F110" s="504">
        <v>144255848.41999999</v>
      </c>
      <c r="G110" s="504">
        <v>10541392.960000001</v>
      </c>
    </row>
    <row r="111" spans="1:7" ht="13.15" customHeight="1">
      <c r="A111" s="352" t="s">
        <v>469</v>
      </c>
      <c r="B111" s="202">
        <v>2545870714.6100001</v>
      </c>
      <c r="C111" s="202">
        <v>102456690.14</v>
      </c>
      <c r="D111" s="202">
        <v>67837451.640000001</v>
      </c>
      <c r="E111" s="202">
        <v>384733223.80000001</v>
      </c>
      <c r="F111" s="202">
        <v>1990843349.03</v>
      </c>
      <c r="G111" s="202">
        <v>134920172.66999999</v>
      </c>
    </row>
    <row r="112" spans="1:7" ht="13.15" customHeight="1">
      <c r="A112" s="352" t="s">
        <v>542</v>
      </c>
      <c r="B112" s="202">
        <v>428287981.43000001</v>
      </c>
      <c r="C112" s="202">
        <v>20802058.07</v>
      </c>
      <c r="D112" s="202">
        <v>13787943.99</v>
      </c>
      <c r="E112" s="202">
        <v>76973379.219999999</v>
      </c>
      <c r="F112" s="202">
        <v>316724600.14999998</v>
      </c>
      <c r="G112" s="202">
        <v>22353853.579999998</v>
      </c>
    </row>
    <row r="113" spans="1:8" ht="13.15" customHeight="1">
      <c r="A113" s="352" t="s">
        <v>545</v>
      </c>
      <c r="B113" s="202">
        <v>1818215177.28</v>
      </c>
      <c r="C113" s="202">
        <v>84362805</v>
      </c>
      <c r="D113" s="202">
        <v>56002402.689999998</v>
      </c>
      <c r="E113" s="202">
        <v>317498640.70999998</v>
      </c>
      <c r="F113" s="202">
        <v>1360351328.8800001</v>
      </c>
      <c r="G113" s="202">
        <v>95107237.120000005</v>
      </c>
    </row>
    <row r="114" spans="1:8" ht="13.15" customHeight="1">
      <c r="A114" s="352" t="s">
        <v>548</v>
      </c>
      <c r="B114" s="504">
        <v>337682068.06999999</v>
      </c>
      <c r="C114" s="504">
        <v>19719742.670000002</v>
      </c>
      <c r="D114" s="504">
        <v>13082763.5</v>
      </c>
      <c r="E114" s="504">
        <v>73283263.400000006</v>
      </c>
      <c r="F114" s="504">
        <v>231596298.5</v>
      </c>
      <c r="G114" s="504">
        <v>17261328.850000001</v>
      </c>
    </row>
    <row r="115" spans="1:8" ht="10.7" customHeight="1">
      <c r="A115" s="352"/>
      <c r="B115" s="669"/>
      <c r="C115" s="669"/>
      <c r="D115" s="669"/>
      <c r="E115" s="669"/>
      <c r="F115" s="669"/>
      <c r="G115" s="669"/>
    </row>
    <row r="116" spans="1:8" ht="13.15" customHeight="1">
      <c r="A116" s="352" t="s">
        <v>424</v>
      </c>
      <c r="B116" s="352">
        <v>277684298.10000002</v>
      </c>
      <c r="C116" s="352">
        <v>17355558.190000001</v>
      </c>
      <c r="D116" s="352">
        <v>11368318.58</v>
      </c>
      <c r="E116" s="352">
        <v>62291672.619999997</v>
      </c>
      <c r="F116" s="352">
        <v>186668748.71000001</v>
      </c>
      <c r="G116" s="352">
        <v>14133042.189999999</v>
      </c>
    </row>
    <row r="117" spans="1:8" ht="13.15" customHeight="1">
      <c r="A117" s="352" t="s">
        <v>428</v>
      </c>
      <c r="B117" s="352">
        <v>904157921.45000005</v>
      </c>
      <c r="C117" s="352">
        <v>45228940.079999998</v>
      </c>
      <c r="D117" s="352">
        <v>30049589.91</v>
      </c>
      <c r="E117" s="352">
        <v>169010521.49000001</v>
      </c>
      <c r="F117" s="352">
        <v>659868869.97000003</v>
      </c>
      <c r="G117" s="352">
        <v>47103218.100000001</v>
      </c>
    </row>
    <row r="118" spans="1:8" ht="13.15" customHeight="1">
      <c r="A118" s="352" t="s">
        <v>432</v>
      </c>
      <c r="B118" s="352">
        <v>404406979.51999998</v>
      </c>
      <c r="C118" s="352">
        <v>24821997.920000002</v>
      </c>
      <c r="D118" s="352">
        <v>16468135.48</v>
      </c>
      <c r="E118" s="352">
        <v>91302172.640000001</v>
      </c>
      <c r="F118" s="352">
        <v>271814673.48000002</v>
      </c>
      <c r="G118" s="352">
        <v>20567338.57</v>
      </c>
    </row>
    <row r="119" spans="1:8" ht="13.15" customHeight="1">
      <c r="A119" s="352" t="s">
        <v>436</v>
      </c>
      <c r="B119" s="352">
        <v>318332904.13999999</v>
      </c>
      <c r="C119" s="352">
        <v>17248229</v>
      </c>
      <c r="D119" s="352">
        <v>11380949</v>
      </c>
      <c r="E119" s="352">
        <v>63309769.530000001</v>
      </c>
      <c r="F119" s="352">
        <v>226393956.61000001</v>
      </c>
      <c r="G119" s="352">
        <v>16465599.5</v>
      </c>
    </row>
    <row r="120" spans="1:8" ht="13.15" customHeight="1">
      <c r="A120" s="352" t="s">
        <v>440</v>
      </c>
      <c r="B120" s="352">
        <v>3528884816.4299998</v>
      </c>
      <c r="C120" s="352">
        <v>142936599.86000001</v>
      </c>
      <c r="D120" s="352">
        <v>95023025</v>
      </c>
      <c r="E120" s="352">
        <v>538126012.61000001</v>
      </c>
      <c r="F120" s="352">
        <v>2752799178.96</v>
      </c>
      <c r="G120" s="352">
        <v>187360748.06999999</v>
      </c>
    </row>
    <row r="121" spans="1:8" ht="10.7" customHeight="1">
      <c r="A121" s="352"/>
      <c r="C121" s="352"/>
      <c r="D121" s="352"/>
      <c r="E121" s="352"/>
      <c r="F121" s="352"/>
      <c r="G121" s="352"/>
    </row>
    <row r="122" spans="1:8" ht="13.15" customHeight="1">
      <c r="A122" s="352" t="s">
        <v>444</v>
      </c>
      <c r="B122" s="352">
        <v>4294608911.3400002</v>
      </c>
      <c r="C122" s="352">
        <v>154151923.21000001</v>
      </c>
      <c r="D122" s="352">
        <v>102370184</v>
      </c>
      <c r="E122" s="352">
        <v>582242556.33000004</v>
      </c>
      <c r="F122" s="352">
        <v>3455844247.8000002</v>
      </c>
      <c r="G122" s="352">
        <v>229936889.33000001</v>
      </c>
    </row>
    <row r="123" spans="1:8" ht="13.15" customHeight="1">
      <c r="A123" s="352" t="s">
        <v>448</v>
      </c>
      <c r="B123" s="352">
        <v>122686886.12</v>
      </c>
      <c r="C123" s="352">
        <v>7247958</v>
      </c>
      <c r="D123" s="352">
        <v>4778845.0599999996</v>
      </c>
      <c r="E123" s="352">
        <v>25922307</v>
      </c>
      <c r="F123" s="352">
        <v>84737776.060000002</v>
      </c>
      <c r="G123" s="352">
        <v>6321169.3700000001</v>
      </c>
    </row>
    <row r="124" spans="1:8" ht="13.15" customHeight="1">
      <c r="A124" s="352" t="s">
        <v>452</v>
      </c>
      <c r="B124" s="352">
        <v>134122313.04000001</v>
      </c>
      <c r="C124" s="352">
        <v>8383902</v>
      </c>
      <c r="D124" s="352">
        <v>5517851.5899999999</v>
      </c>
      <c r="E124" s="352">
        <v>30025718</v>
      </c>
      <c r="F124" s="352">
        <v>90194841.450000003</v>
      </c>
      <c r="G124" s="352">
        <v>6885807.2599999998</v>
      </c>
    </row>
    <row r="125" spans="1:8" ht="13.15" customHeight="1">
      <c r="A125" s="701" t="s">
        <v>456</v>
      </c>
      <c r="B125" s="701">
        <v>663281732.75999999</v>
      </c>
      <c r="C125" s="701">
        <v>31852925.300000001</v>
      </c>
      <c r="D125" s="701">
        <v>21072356</v>
      </c>
      <c r="E125" s="701">
        <v>117117443.16</v>
      </c>
      <c r="F125" s="701">
        <v>493239008.30000001</v>
      </c>
      <c r="G125" s="701">
        <v>34704478.729999997</v>
      </c>
    </row>
    <row r="126" spans="1:8" ht="13.15" customHeight="1">
      <c r="A126" s="701" t="s">
        <v>460</v>
      </c>
      <c r="B126" s="701">
        <v>908316403.63</v>
      </c>
      <c r="C126" s="701">
        <v>42379984</v>
      </c>
      <c r="D126" s="701">
        <v>28128773</v>
      </c>
      <c r="E126" s="701">
        <v>158464723.68000001</v>
      </c>
      <c r="F126" s="701">
        <v>679342922.95000005</v>
      </c>
      <c r="G126" s="701">
        <v>47749857.490000002</v>
      </c>
      <c r="H126" s="627"/>
    </row>
    <row r="127" spans="1:8" ht="18">
      <c r="A127" s="702" t="s">
        <v>742</v>
      </c>
      <c r="B127" s="697"/>
      <c r="C127" s="697"/>
      <c r="D127" s="697"/>
      <c r="E127" s="697"/>
      <c r="F127" s="697"/>
      <c r="G127" s="697"/>
      <c r="H127" s="627"/>
    </row>
    <row r="128" spans="1:8" ht="15.75">
      <c r="A128" s="625" t="s">
        <v>731</v>
      </c>
      <c r="B128" s="697"/>
      <c r="C128" s="697"/>
      <c r="D128" s="697"/>
      <c r="E128" s="697"/>
      <c r="F128" s="697"/>
      <c r="G128" s="697"/>
    </row>
    <row r="129" spans="1:8" ht="15.75">
      <c r="A129" s="625" t="str">
        <f>A3</f>
        <v>Taxable Year 2018</v>
      </c>
      <c r="B129" s="696"/>
      <c r="C129" s="696"/>
      <c r="D129" s="696"/>
      <c r="E129" s="696"/>
      <c r="F129" s="696"/>
      <c r="G129" s="696"/>
    </row>
    <row r="130" spans="1:8" ht="13.15" customHeight="1" thickBot="1">
      <c r="A130" s="627"/>
      <c r="B130" s="697"/>
      <c r="C130" s="697"/>
      <c r="D130" s="697"/>
      <c r="E130" s="697"/>
      <c r="F130" s="697"/>
      <c r="G130" s="697"/>
    </row>
    <row r="131" spans="1:8">
      <c r="A131" s="698"/>
      <c r="B131" s="698" t="s">
        <v>732</v>
      </c>
      <c r="C131" s="698" t="s">
        <v>733</v>
      </c>
      <c r="D131" s="698" t="s">
        <v>734</v>
      </c>
      <c r="E131" s="698" t="s">
        <v>734</v>
      </c>
      <c r="F131" s="698" t="s">
        <v>734</v>
      </c>
      <c r="G131" s="698" t="s">
        <v>735</v>
      </c>
      <c r="H131" s="627"/>
    </row>
    <row r="132" spans="1:8" ht="13.15" customHeight="1">
      <c r="A132" s="699" t="s">
        <v>23</v>
      </c>
      <c r="B132" s="699" t="s">
        <v>736</v>
      </c>
      <c r="C132" s="699" t="s">
        <v>737</v>
      </c>
      <c r="D132" s="699" t="s">
        <v>738</v>
      </c>
      <c r="E132" s="699" t="s">
        <v>739</v>
      </c>
      <c r="F132" s="699" t="s">
        <v>740</v>
      </c>
      <c r="G132" s="699" t="s">
        <v>741</v>
      </c>
    </row>
    <row r="133" spans="1:8" ht="10.7" customHeight="1">
      <c r="A133" s="701"/>
      <c r="B133" s="697"/>
      <c r="C133" s="697"/>
      <c r="D133" s="697"/>
      <c r="E133" s="697"/>
      <c r="F133" s="697"/>
      <c r="G133" s="697"/>
    </row>
    <row r="134" spans="1:8" ht="13.15" customHeight="1">
      <c r="A134" s="352" t="s">
        <v>464</v>
      </c>
      <c r="B134" s="489">
        <v>1055345844.6</v>
      </c>
      <c r="C134" s="489">
        <v>53577670.719999999</v>
      </c>
      <c r="D134" s="489">
        <v>35165876.240000002</v>
      </c>
      <c r="E134" s="489">
        <v>193719908.83000001</v>
      </c>
      <c r="F134" s="489">
        <v>772882388.80999994</v>
      </c>
      <c r="G134" s="489">
        <v>55012473.939999998</v>
      </c>
    </row>
    <row r="135" spans="1:8" ht="13.15" customHeight="1">
      <c r="A135" s="352" t="s">
        <v>468</v>
      </c>
      <c r="B135" s="352">
        <v>330838111.61000001</v>
      </c>
      <c r="C135" s="352">
        <v>17532390</v>
      </c>
      <c r="D135" s="352">
        <v>11595513</v>
      </c>
      <c r="E135" s="352">
        <v>63961614.539999999</v>
      </c>
      <c r="F135" s="352">
        <v>237748594.06999999</v>
      </c>
      <c r="G135" s="352">
        <v>17229817.809999999</v>
      </c>
    </row>
    <row r="136" spans="1:8" ht="13.15" customHeight="1">
      <c r="A136" s="352" t="s">
        <v>472</v>
      </c>
      <c r="B136" s="352">
        <v>429361948.32999998</v>
      </c>
      <c r="C136" s="352">
        <v>26038384.940000001</v>
      </c>
      <c r="D136" s="352">
        <v>17253416</v>
      </c>
      <c r="E136" s="352">
        <v>95753947.459999993</v>
      </c>
      <c r="F136" s="352">
        <v>290316199.93000001</v>
      </c>
      <c r="G136" s="352">
        <v>21902182.77</v>
      </c>
    </row>
    <row r="137" spans="1:8" ht="13.15" customHeight="1">
      <c r="A137" s="352" t="s">
        <v>476</v>
      </c>
      <c r="B137" s="352">
        <v>434523178.91000003</v>
      </c>
      <c r="C137" s="352">
        <v>25651955.600000001</v>
      </c>
      <c r="D137" s="352">
        <v>16996543</v>
      </c>
      <c r="E137" s="352">
        <v>94464833.310000002</v>
      </c>
      <c r="F137" s="352">
        <v>297409847</v>
      </c>
      <c r="G137" s="352">
        <v>22221922.859999999</v>
      </c>
    </row>
    <row r="138" spans="1:8" ht="13.15" customHeight="1">
      <c r="A138" s="701" t="s">
        <v>480</v>
      </c>
      <c r="B138" s="352">
        <v>1918859322.7</v>
      </c>
      <c r="C138" s="352">
        <v>66930458.399999999</v>
      </c>
      <c r="D138" s="352">
        <v>44304913.649999999</v>
      </c>
      <c r="E138" s="352">
        <v>251843126.59</v>
      </c>
      <c r="F138" s="352">
        <v>1555780824.0599999</v>
      </c>
      <c r="G138" s="352">
        <v>102754464.15000001</v>
      </c>
    </row>
    <row r="139" spans="1:8" ht="10.7" customHeight="1">
      <c r="A139" s="701"/>
      <c r="C139" s="352"/>
      <c r="D139" s="352"/>
      <c r="E139" s="352"/>
      <c r="F139" s="352"/>
      <c r="G139" s="352"/>
    </row>
    <row r="140" spans="1:8" ht="13.15" customHeight="1">
      <c r="A140" s="706" t="s">
        <v>24</v>
      </c>
      <c r="B140" s="707">
        <f t="shared" ref="B140:G140" si="0">SUM(B8:B138)</f>
        <v>195258232261.59998</v>
      </c>
      <c r="C140" s="707">
        <f t="shared" si="0"/>
        <v>6353062881.119997</v>
      </c>
      <c r="D140" s="707">
        <f t="shared" si="0"/>
        <v>4210037027.6899991</v>
      </c>
      <c r="E140" s="707">
        <f t="shared" si="0"/>
        <v>23882613072.160007</v>
      </c>
      <c r="F140" s="707">
        <f t="shared" si="0"/>
        <v>160812519280.63</v>
      </c>
      <c r="G140" s="707">
        <f t="shared" si="0"/>
        <v>10530829809.540005</v>
      </c>
    </row>
    <row r="141" spans="1:8" ht="13.15" customHeight="1">
      <c r="A141" s="708"/>
      <c r="B141" s="709"/>
      <c r="C141" s="709"/>
      <c r="D141" s="709"/>
      <c r="E141" s="709"/>
      <c r="F141" s="709"/>
      <c r="G141" s="709"/>
    </row>
    <row r="142" spans="1:8" ht="13.15" customHeight="1" thickBot="1">
      <c r="A142" s="708"/>
      <c r="B142" s="708"/>
      <c r="C142" s="708"/>
      <c r="D142" s="708"/>
      <c r="E142" s="708"/>
      <c r="F142" s="708"/>
      <c r="G142" s="708"/>
    </row>
    <row r="143" spans="1:8">
      <c r="A143" s="698"/>
      <c r="B143" s="698" t="s">
        <v>732</v>
      </c>
      <c r="C143" s="698" t="s">
        <v>733</v>
      </c>
      <c r="D143" s="698" t="s">
        <v>734</v>
      </c>
      <c r="E143" s="698" t="s">
        <v>734</v>
      </c>
      <c r="F143" s="698" t="s">
        <v>734</v>
      </c>
      <c r="G143" s="698" t="s">
        <v>735</v>
      </c>
      <c r="H143" s="627"/>
    </row>
    <row r="144" spans="1:8" ht="13.15" customHeight="1">
      <c r="A144" s="699" t="s">
        <v>25</v>
      </c>
      <c r="B144" s="699" t="s">
        <v>736</v>
      </c>
      <c r="C144" s="699" t="s">
        <v>737</v>
      </c>
      <c r="D144" s="699" t="s">
        <v>738</v>
      </c>
      <c r="E144" s="699" t="s">
        <v>739</v>
      </c>
      <c r="F144" s="699" t="s">
        <v>740</v>
      </c>
      <c r="G144" s="699" t="s">
        <v>741</v>
      </c>
    </row>
    <row r="145" spans="1:7" ht="10.7" customHeight="1">
      <c r="A145" s="710"/>
      <c r="B145" s="710"/>
      <c r="C145" s="710"/>
      <c r="D145" s="710"/>
      <c r="E145" s="710"/>
      <c r="F145" s="710"/>
      <c r="G145" s="710"/>
    </row>
    <row r="146" spans="1:7" ht="13.15" customHeight="1">
      <c r="A146" s="701" t="s">
        <v>497</v>
      </c>
      <c r="B146" s="700">
        <v>8261599833.9399996</v>
      </c>
      <c r="C146" s="700">
        <v>219838577.75999999</v>
      </c>
      <c r="D146" s="700">
        <v>144982842.34999999</v>
      </c>
      <c r="E146" s="700">
        <v>827306627</v>
      </c>
      <c r="F146" s="700">
        <v>7069471786.8299999</v>
      </c>
      <c r="G146" s="700">
        <v>452773899.01999998</v>
      </c>
    </row>
    <row r="147" spans="1:7" ht="13.15" customHeight="1">
      <c r="A147" s="352" t="s">
        <v>502</v>
      </c>
      <c r="B147" s="352">
        <v>297221341.85000002</v>
      </c>
      <c r="C147" s="352">
        <v>22769584.199999999</v>
      </c>
      <c r="D147" s="352">
        <v>14496777.689999999</v>
      </c>
      <c r="E147" s="352">
        <v>74847302.030000001</v>
      </c>
      <c r="F147" s="352">
        <v>185107677.93000001</v>
      </c>
      <c r="G147" s="352">
        <v>14995874.630000001</v>
      </c>
    </row>
    <row r="148" spans="1:7" ht="13.15" customHeight="1">
      <c r="A148" s="352" t="s">
        <v>505</v>
      </c>
      <c r="B148" s="352">
        <v>75746931.859999999</v>
      </c>
      <c r="C148" s="352">
        <v>5391023</v>
      </c>
      <c r="D148" s="352">
        <v>3566154</v>
      </c>
      <c r="E148" s="352">
        <v>19663453.25</v>
      </c>
      <c r="F148" s="352">
        <v>47126301.609999999</v>
      </c>
      <c r="G148" s="352">
        <v>3783107.63</v>
      </c>
    </row>
    <row r="149" spans="1:7" ht="13.15" customHeight="1">
      <c r="A149" s="352" t="s">
        <v>508</v>
      </c>
      <c r="B149" s="352">
        <v>1336343001.23</v>
      </c>
      <c r="C149" s="352">
        <v>48833215.920000002</v>
      </c>
      <c r="D149" s="352">
        <v>31901377.129999999</v>
      </c>
      <c r="E149" s="352">
        <v>176854376.19</v>
      </c>
      <c r="F149" s="352">
        <v>1078754031.99</v>
      </c>
      <c r="G149" s="352">
        <v>71922436.260000005</v>
      </c>
    </row>
    <row r="150" spans="1:7" ht="13.15" customHeight="1">
      <c r="A150" s="352" t="s">
        <v>511</v>
      </c>
      <c r="B150" s="352">
        <v>5476661979.9499998</v>
      </c>
      <c r="C150" s="352">
        <v>246716661.13</v>
      </c>
      <c r="D150" s="352">
        <v>163260268.06</v>
      </c>
      <c r="E150" s="352">
        <v>910227585.75</v>
      </c>
      <c r="F150" s="352">
        <v>4156457465.0100002</v>
      </c>
      <c r="G150" s="352">
        <v>288635415.56999999</v>
      </c>
    </row>
    <row r="151" spans="1:7" ht="9" customHeight="1">
      <c r="A151" s="352"/>
      <c r="C151" s="352"/>
      <c r="D151" s="352"/>
      <c r="E151" s="352"/>
      <c r="F151" s="352"/>
      <c r="G151" s="352"/>
    </row>
    <row r="152" spans="1:7" ht="13.15" customHeight="1">
      <c r="A152" s="352" t="s">
        <v>514</v>
      </c>
      <c r="B152" s="352">
        <v>327674501.13</v>
      </c>
      <c r="C152" s="352">
        <v>18854984</v>
      </c>
      <c r="D152" s="352">
        <v>12529667</v>
      </c>
      <c r="E152" s="352">
        <v>69770804.780000001</v>
      </c>
      <c r="F152" s="352">
        <v>226519045.34999999</v>
      </c>
      <c r="G152" s="352">
        <v>16918545.260000002</v>
      </c>
    </row>
    <row r="153" spans="1:7" ht="13.15" customHeight="1">
      <c r="A153" s="352" t="s">
        <v>517</v>
      </c>
      <c r="B153" s="352">
        <v>79997967.909999996</v>
      </c>
      <c r="C153" s="352">
        <v>5666561</v>
      </c>
      <c r="D153" s="352">
        <v>3743459</v>
      </c>
      <c r="E153" s="352">
        <v>20271260.199999999</v>
      </c>
      <c r="F153" s="352">
        <v>50316687.710000001</v>
      </c>
      <c r="G153" s="352">
        <v>4038605.28</v>
      </c>
    </row>
    <row r="154" spans="1:7" ht="13.15" customHeight="1">
      <c r="A154" s="352" t="s">
        <v>520</v>
      </c>
      <c r="B154" s="352">
        <v>615401476.24000001</v>
      </c>
      <c r="C154" s="352">
        <v>39883972.369999997</v>
      </c>
      <c r="D154" s="352">
        <v>26136960</v>
      </c>
      <c r="E154" s="352">
        <v>137726615.31</v>
      </c>
      <c r="F154" s="352">
        <v>411653928.56</v>
      </c>
      <c r="G154" s="352">
        <v>31664606.25</v>
      </c>
    </row>
    <row r="155" spans="1:7" ht="13.15" customHeight="1">
      <c r="A155" s="352" t="s">
        <v>523</v>
      </c>
      <c r="B155" s="352">
        <v>63269693.700000003</v>
      </c>
      <c r="C155" s="352">
        <v>5349864.26</v>
      </c>
      <c r="D155" s="352">
        <v>3461840.74</v>
      </c>
      <c r="E155" s="352">
        <v>17438160.719999999</v>
      </c>
      <c r="F155" s="352">
        <v>37019827.979999997</v>
      </c>
      <c r="G155" s="352">
        <v>3167830.66</v>
      </c>
    </row>
    <row r="156" spans="1:7" ht="13.15" customHeight="1">
      <c r="A156" s="352" t="s">
        <v>518</v>
      </c>
      <c r="B156" s="352">
        <v>1174593301.3800001</v>
      </c>
      <c r="C156" s="352">
        <v>35471715.340000004</v>
      </c>
      <c r="D156" s="352">
        <v>23226681.359999999</v>
      </c>
      <c r="E156" s="352">
        <v>129783640.89</v>
      </c>
      <c r="F156" s="352">
        <v>986111263.78999996</v>
      </c>
      <c r="G156" s="352">
        <v>63775149.630000003</v>
      </c>
    </row>
    <row r="157" spans="1:7" ht="10.9" customHeight="1">
      <c r="A157" s="352"/>
      <c r="C157" s="352"/>
      <c r="D157" s="352"/>
      <c r="E157" s="352"/>
      <c r="F157" s="352"/>
      <c r="G157" s="352"/>
    </row>
    <row r="158" spans="1:7" ht="13.15" customHeight="1">
      <c r="A158" s="352" t="s">
        <v>528</v>
      </c>
      <c r="B158" s="352">
        <v>1007565079.7</v>
      </c>
      <c r="C158" s="352">
        <v>19617761.190000001</v>
      </c>
      <c r="D158" s="352">
        <v>12872355.27</v>
      </c>
      <c r="E158" s="352">
        <v>73900750.480000004</v>
      </c>
      <c r="F158" s="352">
        <v>901174212.75999999</v>
      </c>
      <c r="G158" s="352">
        <v>55772317.369999997</v>
      </c>
    </row>
    <row r="159" spans="1:7" ht="13.15" customHeight="1">
      <c r="A159" s="352" t="s">
        <v>26</v>
      </c>
      <c r="B159" s="352">
        <v>108891292.88</v>
      </c>
      <c r="C159" s="352">
        <v>7524194.9000000004</v>
      </c>
      <c r="D159" s="352">
        <v>4929849.6900000004</v>
      </c>
      <c r="E159" s="352">
        <v>25959066</v>
      </c>
      <c r="F159" s="352">
        <v>70478182.290000007</v>
      </c>
      <c r="G159" s="352">
        <v>5543470.7400000002</v>
      </c>
    </row>
    <row r="160" spans="1:7" ht="13.15" customHeight="1">
      <c r="A160" s="352" t="s">
        <v>533</v>
      </c>
      <c r="B160" s="352">
        <v>764999955.58000004</v>
      </c>
      <c r="C160" s="352">
        <v>30524456.739999998</v>
      </c>
      <c r="D160" s="352">
        <v>20139425.010000002</v>
      </c>
      <c r="E160" s="352">
        <v>111694980.78</v>
      </c>
      <c r="F160" s="352">
        <v>602641093.04999995</v>
      </c>
      <c r="G160" s="352">
        <v>40957542.460000001</v>
      </c>
    </row>
    <row r="161" spans="1:8" ht="13.15" customHeight="1">
      <c r="A161" s="352" t="s">
        <v>536</v>
      </c>
      <c r="B161" s="352">
        <v>96587525.780000001</v>
      </c>
      <c r="C161" s="352">
        <v>6505397.4800000004</v>
      </c>
      <c r="D161" s="352">
        <v>4261894</v>
      </c>
      <c r="E161" s="352">
        <v>22950355.300000001</v>
      </c>
      <c r="F161" s="352">
        <v>62869879</v>
      </c>
      <c r="G161" s="352">
        <v>4899782.62</v>
      </c>
    </row>
    <row r="162" spans="1:8" ht="13.15" customHeight="1">
      <c r="A162" s="352" t="s">
        <v>538</v>
      </c>
      <c r="B162" s="352">
        <v>2123446943.4200001</v>
      </c>
      <c r="C162" s="352">
        <v>126243251.17</v>
      </c>
      <c r="D162" s="352">
        <v>83578138.700000003</v>
      </c>
      <c r="E162" s="352">
        <v>459380512.58999997</v>
      </c>
      <c r="F162" s="352">
        <v>1454245040.96</v>
      </c>
      <c r="G162" s="352">
        <v>109584905.81</v>
      </c>
    </row>
    <row r="163" spans="1:8" ht="10.9" customHeight="1">
      <c r="A163" s="352"/>
      <c r="C163" s="352"/>
      <c r="D163" s="352"/>
      <c r="E163" s="352"/>
      <c r="F163" s="352"/>
      <c r="G163" s="352"/>
    </row>
    <row r="164" spans="1:8" ht="13.15" customHeight="1">
      <c r="A164" s="352" t="s">
        <v>540</v>
      </c>
      <c r="B164" s="352">
        <v>630574072.79999995</v>
      </c>
      <c r="C164" s="352">
        <v>39300313.57</v>
      </c>
      <c r="D164" s="352">
        <v>25986923.309999999</v>
      </c>
      <c r="E164" s="352">
        <v>143159766.27000001</v>
      </c>
      <c r="F164" s="352">
        <v>422127069.64999998</v>
      </c>
      <c r="G164" s="352">
        <v>32291112.050000001</v>
      </c>
    </row>
    <row r="165" spans="1:8" ht="13.15" customHeight="1">
      <c r="A165" s="352" t="s">
        <v>543</v>
      </c>
      <c r="B165" s="352">
        <v>278072870.36000001</v>
      </c>
      <c r="C165" s="352">
        <v>21041562.510000002</v>
      </c>
      <c r="D165" s="352">
        <v>13913930.82</v>
      </c>
      <c r="E165" s="352">
        <v>74467265.060000002</v>
      </c>
      <c r="F165" s="352">
        <v>168650111.97</v>
      </c>
      <c r="G165" s="352">
        <v>14022867.9</v>
      </c>
    </row>
    <row r="166" spans="1:8" ht="13.15" customHeight="1">
      <c r="A166" s="701" t="s">
        <v>546</v>
      </c>
      <c r="B166" s="497">
        <v>137500687.28999999</v>
      </c>
      <c r="C166" s="497">
        <v>5404576</v>
      </c>
      <c r="D166" s="497">
        <v>3528287</v>
      </c>
      <c r="E166" s="497">
        <v>19746131.48</v>
      </c>
      <c r="F166" s="497">
        <v>108821692.81</v>
      </c>
      <c r="G166" s="497">
        <v>7323391.2599999998</v>
      </c>
    </row>
    <row r="167" spans="1:8" ht="13.15" customHeight="1">
      <c r="A167" s="711" t="s">
        <v>549</v>
      </c>
      <c r="B167" s="701">
        <v>1346764628.2</v>
      </c>
      <c r="C167" s="701">
        <v>69561009.609999999</v>
      </c>
      <c r="D167" s="701">
        <v>45967618.93</v>
      </c>
      <c r="E167" s="701">
        <v>250679996.86000001</v>
      </c>
      <c r="F167" s="701">
        <v>980556002.79999995</v>
      </c>
      <c r="G167" s="701">
        <v>70361456.859999999</v>
      </c>
      <c r="H167" s="627"/>
    </row>
    <row r="168" spans="1:8" ht="13.15" customHeight="1">
      <c r="A168" s="700" t="s">
        <v>425</v>
      </c>
      <c r="B168" s="352">
        <v>997751547.70000005</v>
      </c>
      <c r="C168" s="352">
        <v>48749976.909999996</v>
      </c>
      <c r="D168" s="352">
        <v>32287123.629999999</v>
      </c>
      <c r="E168" s="352">
        <v>180575141.33000001</v>
      </c>
      <c r="F168" s="352">
        <v>736139305.83000004</v>
      </c>
      <c r="G168" s="352">
        <v>52409722.240000002</v>
      </c>
      <c r="H168" s="627"/>
    </row>
    <row r="169" spans="1:8" ht="18">
      <c r="A169" s="702" t="s">
        <v>742</v>
      </c>
      <c r="B169" s="697"/>
      <c r="C169" s="697"/>
      <c r="D169" s="697"/>
      <c r="E169" s="697"/>
      <c r="F169" s="697"/>
      <c r="G169" s="697"/>
      <c r="H169" s="627"/>
    </row>
    <row r="170" spans="1:8" ht="15.75">
      <c r="A170" s="625" t="s">
        <v>731</v>
      </c>
      <c r="B170" s="697"/>
      <c r="C170" s="697"/>
      <c r="D170" s="697"/>
      <c r="E170" s="697"/>
      <c r="F170" s="697"/>
      <c r="G170" s="697"/>
    </row>
    <row r="171" spans="1:8" ht="15.75">
      <c r="A171" s="625" t="str">
        <f>A3</f>
        <v>Taxable Year 2018</v>
      </c>
      <c r="B171" s="696"/>
      <c r="C171" s="696"/>
      <c r="D171" s="696"/>
      <c r="E171" s="696"/>
      <c r="F171" s="696"/>
      <c r="G171" s="696"/>
    </row>
    <row r="172" spans="1:8" ht="13.15" customHeight="1" thickBot="1">
      <c r="A172" s="627"/>
      <c r="B172" s="697"/>
      <c r="C172" s="697"/>
      <c r="D172" s="697"/>
      <c r="E172" s="697"/>
      <c r="F172" s="697"/>
      <c r="G172" s="697"/>
    </row>
    <row r="173" spans="1:8">
      <c r="A173" s="698"/>
      <c r="B173" s="698" t="s">
        <v>732</v>
      </c>
      <c r="C173" s="698" t="s">
        <v>733</v>
      </c>
      <c r="D173" s="698" t="s">
        <v>734</v>
      </c>
      <c r="E173" s="698" t="s">
        <v>734</v>
      </c>
      <c r="F173" s="698" t="s">
        <v>734</v>
      </c>
      <c r="G173" s="698" t="s">
        <v>735</v>
      </c>
      <c r="H173" s="627"/>
    </row>
    <row r="174" spans="1:8" ht="13.15" customHeight="1">
      <c r="A174" s="699" t="s">
        <v>25</v>
      </c>
      <c r="B174" s="699" t="s">
        <v>736</v>
      </c>
      <c r="C174" s="699" t="s">
        <v>737</v>
      </c>
      <c r="D174" s="699" t="s">
        <v>738</v>
      </c>
      <c r="E174" s="699" t="s">
        <v>739</v>
      </c>
      <c r="F174" s="699" t="s">
        <v>740</v>
      </c>
      <c r="G174" s="699" t="s">
        <v>741</v>
      </c>
    </row>
    <row r="175" spans="1:8" ht="10.7" customHeight="1">
      <c r="A175" s="700"/>
      <c r="C175" s="700"/>
      <c r="D175" s="700"/>
      <c r="E175" s="700"/>
      <c r="F175" s="700"/>
      <c r="G175" s="700"/>
    </row>
    <row r="176" spans="1:8" ht="13.15" customHeight="1">
      <c r="A176" s="352" t="s">
        <v>429</v>
      </c>
      <c r="B176" s="700">
        <v>390687356.88999999</v>
      </c>
      <c r="C176" s="700">
        <v>20251959.66</v>
      </c>
      <c r="D176" s="700">
        <v>13453056</v>
      </c>
      <c r="E176" s="700">
        <v>75729939.950000003</v>
      </c>
      <c r="F176" s="700">
        <v>281252401.27999997</v>
      </c>
      <c r="G176" s="700">
        <v>20411083.120000001</v>
      </c>
    </row>
    <row r="177" spans="1:7" ht="13.15" customHeight="1">
      <c r="A177" s="352" t="s">
        <v>433</v>
      </c>
      <c r="B177" s="352">
        <v>236449180.66999999</v>
      </c>
      <c r="C177" s="352">
        <v>12838094.23</v>
      </c>
      <c r="D177" s="352">
        <v>8429419.9600000009</v>
      </c>
      <c r="E177" s="352">
        <v>44738655.530000001</v>
      </c>
      <c r="F177" s="352">
        <v>170443010.94999999</v>
      </c>
      <c r="G177" s="352">
        <v>12384778.119999999</v>
      </c>
    </row>
    <row r="178" spans="1:7" ht="13.15" customHeight="1">
      <c r="A178" s="352" t="s">
        <v>437</v>
      </c>
      <c r="B178" s="352">
        <v>2989076770.2199998</v>
      </c>
      <c r="C178" s="352">
        <v>174458345.77000001</v>
      </c>
      <c r="D178" s="352">
        <v>115496205.48999999</v>
      </c>
      <c r="E178" s="352">
        <v>631319202.53999996</v>
      </c>
      <c r="F178" s="352">
        <v>2067803016.4200001</v>
      </c>
      <c r="G178" s="352">
        <v>154723522.47999999</v>
      </c>
    </row>
    <row r="179" spans="1:7" ht="13.15" customHeight="1">
      <c r="A179" s="352" t="s">
        <v>441</v>
      </c>
      <c r="B179" s="352">
        <v>3686795445.8800001</v>
      </c>
      <c r="C179" s="352">
        <v>198270467.02000001</v>
      </c>
      <c r="D179" s="352">
        <v>130807095.38</v>
      </c>
      <c r="E179" s="352">
        <v>704521438.82000005</v>
      </c>
      <c r="F179" s="352">
        <v>2653196444.6599998</v>
      </c>
      <c r="G179" s="352">
        <v>193009337.41</v>
      </c>
    </row>
    <row r="180" spans="1:7" ht="13.15" customHeight="1">
      <c r="A180" s="352" t="s">
        <v>445</v>
      </c>
      <c r="B180" s="352">
        <v>56481005.380000003</v>
      </c>
      <c r="C180" s="352">
        <v>3828079</v>
      </c>
      <c r="D180" s="352">
        <v>2519159.84</v>
      </c>
      <c r="E180" s="352">
        <v>13484483.140000001</v>
      </c>
      <c r="F180" s="352">
        <v>36649283.399999999</v>
      </c>
      <c r="G180" s="352">
        <v>2854642.56</v>
      </c>
    </row>
    <row r="181" spans="1:7" ht="10.9" customHeight="1">
      <c r="A181" s="352"/>
      <c r="C181" s="352"/>
      <c r="D181" s="352"/>
      <c r="E181" s="352"/>
      <c r="F181" s="352"/>
      <c r="G181" s="352"/>
    </row>
    <row r="182" spans="1:7" ht="13.15" customHeight="1">
      <c r="A182" s="352" t="s">
        <v>449</v>
      </c>
      <c r="B182" s="352">
        <v>332119325.01999998</v>
      </c>
      <c r="C182" s="352">
        <v>28757244.25</v>
      </c>
      <c r="D182" s="352">
        <v>18988715</v>
      </c>
      <c r="E182" s="352">
        <v>98744412.359999999</v>
      </c>
      <c r="F182" s="352">
        <v>185628953.41</v>
      </c>
      <c r="G182" s="352">
        <v>16554497.75</v>
      </c>
    </row>
    <row r="183" spans="1:7" ht="13.15" customHeight="1">
      <c r="A183" s="352" t="s">
        <v>453</v>
      </c>
      <c r="B183" s="352">
        <v>392221486.35000002</v>
      </c>
      <c r="C183" s="352">
        <v>12983646</v>
      </c>
      <c r="D183" s="352">
        <v>8619267.6500000004</v>
      </c>
      <c r="E183" s="352">
        <v>49296307.020000003</v>
      </c>
      <c r="F183" s="352">
        <v>321322265.68000001</v>
      </c>
      <c r="G183" s="352">
        <v>21029049.600000001</v>
      </c>
    </row>
    <row r="184" spans="1:7" ht="13.15" customHeight="1">
      <c r="A184" s="352" t="s">
        <v>457</v>
      </c>
      <c r="B184" s="352">
        <v>1348578698</v>
      </c>
      <c r="C184" s="352">
        <v>89412003.950000003</v>
      </c>
      <c r="D184" s="352">
        <v>59211253</v>
      </c>
      <c r="E184" s="352">
        <v>320452103.56999999</v>
      </c>
      <c r="F184" s="352">
        <v>879503337.48000002</v>
      </c>
      <c r="G184" s="352">
        <v>68959426.170000002</v>
      </c>
    </row>
    <row r="185" spans="1:7" ht="13.15" customHeight="1">
      <c r="A185" s="352" t="s">
        <v>461</v>
      </c>
      <c r="B185" s="352">
        <v>211050683.30000001</v>
      </c>
      <c r="C185" s="352">
        <v>11760240.48</v>
      </c>
      <c r="D185" s="352">
        <v>7777374.71</v>
      </c>
      <c r="E185" s="352">
        <v>42746557.549999997</v>
      </c>
      <c r="F185" s="352">
        <v>148766510.56</v>
      </c>
      <c r="G185" s="352">
        <v>10902982.1</v>
      </c>
    </row>
    <row r="186" spans="1:7" ht="13.15" customHeight="1">
      <c r="A186" s="352" t="s">
        <v>465</v>
      </c>
      <c r="B186" s="488">
        <v>6423345717.0699997</v>
      </c>
      <c r="C186" s="488">
        <v>234328652.19999999</v>
      </c>
      <c r="D186" s="488">
        <v>154398269.96000001</v>
      </c>
      <c r="E186" s="488">
        <v>843361988.01999998</v>
      </c>
      <c r="F186" s="488">
        <v>5191256806.8900003</v>
      </c>
      <c r="G186" s="488">
        <v>347019320.66000003</v>
      </c>
    </row>
    <row r="187" spans="1:7" ht="13.15" customHeight="1">
      <c r="A187" s="352"/>
      <c r="B187" s="488"/>
      <c r="C187" s="488"/>
      <c r="D187" s="488"/>
      <c r="E187" s="488"/>
      <c r="F187" s="488"/>
      <c r="G187" s="488"/>
    </row>
    <row r="188" spans="1:7" ht="13.15" customHeight="1">
      <c r="A188" s="352" t="s">
        <v>27</v>
      </c>
      <c r="B188" s="352">
        <v>1762400569.6700001</v>
      </c>
      <c r="C188" s="352">
        <v>97583441.879999995</v>
      </c>
      <c r="D188" s="352">
        <v>64605856.109999999</v>
      </c>
      <c r="E188" s="352">
        <v>352771561.38999999</v>
      </c>
      <c r="F188" s="352">
        <v>1247439710.29</v>
      </c>
      <c r="G188" s="352">
        <v>91784715.359999999</v>
      </c>
    </row>
    <row r="189" spans="1:7" ht="13.15" customHeight="1">
      <c r="A189" s="352" t="s">
        <v>473</v>
      </c>
      <c r="B189" s="352">
        <v>613548974.36000001</v>
      </c>
      <c r="C189" s="352">
        <v>26239827</v>
      </c>
      <c r="D189" s="352">
        <v>17384755</v>
      </c>
      <c r="E189" s="352">
        <v>97816872.099999994</v>
      </c>
      <c r="F189" s="352">
        <v>472107520.25999999</v>
      </c>
      <c r="G189" s="352">
        <v>32420595.809999999</v>
      </c>
    </row>
    <row r="190" spans="1:7" ht="13.15" customHeight="1">
      <c r="A190" s="352" t="s">
        <v>477</v>
      </c>
      <c r="B190" s="352">
        <v>476758472.11000001</v>
      </c>
      <c r="C190" s="352">
        <v>25999977</v>
      </c>
      <c r="D190" s="352">
        <v>17266129</v>
      </c>
      <c r="E190" s="352">
        <v>96328636.150000006</v>
      </c>
      <c r="F190" s="352">
        <v>337163729.95999998</v>
      </c>
      <c r="G190" s="352">
        <v>24680147.609999999</v>
      </c>
    </row>
    <row r="191" spans="1:7" ht="13.15" customHeight="1">
      <c r="A191" s="352" t="s">
        <v>481</v>
      </c>
      <c r="B191" s="352">
        <v>2033668143.0599999</v>
      </c>
      <c r="C191" s="352">
        <v>90158903.400000006</v>
      </c>
      <c r="D191" s="352">
        <v>59630739.810000002</v>
      </c>
      <c r="E191" s="352">
        <v>331092735.69999999</v>
      </c>
      <c r="F191" s="352">
        <v>1552785764.1500001</v>
      </c>
      <c r="G191" s="352">
        <v>107376184.54000001</v>
      </c>
    </row>
    <row r="192" spans="1:7" ht="10.7" customHeight="1">
      <c r="A192" s="352"/>
      <c r="C192" s="352"/>
      <c r="D192" s="352"/>
      <c r="E192" s="352"/>
      <c r="F192" s="352"/>
      <c r="G192" s="352"/>
    </row>
    <row r="193" spans="1:8" ht="13.15" customHeight="1">
      <c r="A193" s="352" t="s">
        <v>28</v>
      </c>
      <c r="B193" s="352">
        <v>11825440509.370001</v>
      </c>
      <c r="C193" s="352">
        <v>465806564.91000003</v>
      </c>
      <c r="D193" s="352">
        <v>308296780.00999999</v>
      </c>
      <c r="E193" s="352">
        <v>1726320880.6300001</v>
      </c>
      <c r="F193" s="352">
        <v>9325016283.8199997</v>
      </c>
      <c r="G193" s="352">
        <v>631019176.02999997</v>
      </c>
    </row>
    <row r="194" spans="1:8" ht="13.15" customHeight="1">
      <c r="A194" s="352" t="s">
        <v>486</v>
      </c>
      <c r="B194" s="352">
        <v>380144306.47000003</v>
      </c>
      <c r="C194" s="352">
        <v>22497662.649999999</v>
      </c>
      <c r="D194" s="352">
        <v>14935131</v>
      </c>
      <c r="E194" s="352">
        <v>83396748.200000003</v>
      </c>
      <c r="F194" s="352">
        <v>259314764.62</v>
      </c>
      <c r="G194" s="352">
        <v>19548007.899999999</v>
      </c>
    </row>
    <row r="195" spans="1:8" ht="13.15" customHeight="1">
      <c r="A195" s="352" t="s">
        <v>489</v>
      </c>
      <c r="B195" s="352">
        <v>314749476.95999998</v>
      </c>
      <c r="C195" s="352">
        <v>12754820.23</v>
      </c>
      <c r="D195" s="352">
        <v>8271813</v>
      </c>
      <c r="E195" s="352">
        <v>44530273.43</v>
      </c>
      <c r="F195" s="352">
        <v>249192570.30000001</v>
      </c>
      <c r="G195" s="352">
        <v>16827355.27</v>
      </c>
    </row>
    <row r="196" spans="1:8" ht="13.15" customHeight="1">
      <c r="A196" s="701" t="s">
        <v>492</v>
      </c>
      <c r="B196" s="701">
        <v>610446180.24000001</v>
      </c>
      <c r="C196" s="701">
        <v>29662819.039999999</v>
      </c>
      <c r="D196" s="701">
        <v>19553670.329999998</v>
      </c>
      <c r="E196" s="701">
        <v>107856585.29000001</v>
      </c>
      <c r="F196" s="701">
        <v>453373105.57999998</v>
      </c>
      <c r="G196" s="701">
        <v>32159978.949999999</v>
      </c>
    </row>
    <row r="197" spans="1:8" ht="10.7" customHeight="1">
      <c r="A197" s="712"/>
      <c r="B197" s="712"/>
      <c r="C197" s="712"/>
      <c r="D197" s="712"/>
      <c r="E197" s="712"/>
      <c r="F197" s="712"/>
      <c r="G197" s="712"/>
      <c r="H197" s="627"/>
    </row>
    <row r="198" spans="1:8" ht="15" customHeight="1">
      <c r="A198" s="706" t="s">
        <v>29</v>
      </c>
      <c r="B198" s="707">
        <f t="shared" ref="B198:G198" si="1">SUM(B146:B196)</f>
        <v>59284626933.920006</v>
      </c>
      <c r="C198" s="707">
        <f t="shared" si="1"/>
        <v>2580841407.73</v>
      </c>
      <c r="D198" s="707">
        <f t="shared" si="1"/>
        <v>1704416264.9399998</v>
      </c>
      <c r="E198" s="707">
        <f t="shared" si="1"/>
        <v>9410913173.6600037</v>
      </c>
      <c r="F198" s="707">
        <f t="shared" si="1"/>
        <v>45588456087.590012</v>
      </c>
      <c r="G198" s="707">
        <f t="shared" si="1"/>
        <v>3148506840.9399996</v>
      </c>
    </row>
    <row r="199" spans="1:8" ht="15" customHeight="1">
      <c r="A199" s="706" t="s">
        <v>24</v>
      </c>
      <c r="B199" s="707">
        <f t="shared" ref="B199:G199" si="2">B140</f>
        <v>195258232261.59998</v>
      </c>
      <c r="C199" s="707">
        <f t="shared" si="2"/>
        <v>6353062881.119997</v>
      </c>
      <c r="D199" s="707">
        <f t="shared" si="2"/>
        <v>4210037027.6899991</v>
      </c>
      <c r="E199" s="707">
        <f>E140</f>
        <v>23882613072.160007</v>
      </c>
      <c r="F199" s="707">
        <f t="shared" si="2"/>
        <v>160812519280.63</v>
      </c>
      <c r="G199" s="707">
        <f t="shared" si="2"/>
        <v>10530829809.540005</v>
      </c>
    </row>
    <row r="200" spans="1:8" ht="15" customHeight="1">
      <c r="A200" s="706" t="s">
        <v>722</v>
      </c>
      <c r="B200" s="713">
        <v>7932186380.4499998</v>
      </c>
      <c r="C200" s="713">
        <v>274795228.66000003</v>
      </c>
      <c r="D200" s="713">
        <v>170187806.94999999</v>
      </c>
      <c r="E200" s="713">
        <v>889878302.21000004</v>
      </c>
      <c r="F200" s="713">
        <v>6597325042.6300001</v>
      </c>
      <c r="G200" s="713">
        <v>433088137.05000001</v>
      </c>
    </row>
    <row r="201" spans="1:8" ht="13.15" customHeight="1">
      <c r="A201" s="706"/>
      <c r="B201" s="714"/>
      <c r="C201" s="714"/>
      <c r="D201" s="714"/>
      <c r="E201" s="714"/>
      <c r="F201" s="714"/>
      <c r="G201" s="714"/>
    </row>
    <row r="202" spans="1:8" ht="15" customHeight="1">
      <c r="A202" s="706" t="s">
        <v>30</v>
      </c>
      <c r="B202" s="707">
        <f t="shared" ref="B202:G202" si="3">SUM(B198:B200)</f>
        <v>262475045575.97</v>
      </c>
      <c r="C202" s="707">
        <f t="shared" si="3"/>
        <v>9208699517.5099964</v>
      </c>
      <c r="D202" s="707">
        <f t="shared" si="3"/>
        <v>6084641099.579999</v>
      </c>
      <c r="E202" s="707">
        <f t="shared" si="3"/>
        <v>34183404548.03001</v>
      </c>
      <c r="F202" s="707">
        <f t="shared" si="3"/>
        <v>212998300410.85004</v>
      </c>
      <c r="G202" s="707">
        <f t="shared" si="3"/>
        <v>14112424787.530003</v>
      </c>
    </row>
    <row r="203" spans="1:8" ht="13.15" customHeight="1">
      <c r="A203" s="708"/>
      <c r="B203" s="715"/>
      <c r="C203" s="715"/>
      <c r="D203" s="715"/>
      <c r="E203" s="715"/>
      <c r="F203" s="715"/>
      <c r="G203" s="715"/>
    </row>
    <row r="204" spans="1:8" ht="13.15" customHeight="1">
      <c r="A204" s="804" t="s">
        <v>1</v>
      </c>
      <c r="B204" s="697"/>
      <c r="C204" s="716"/>
      <c r="D204" s="716"/>
      <c r="E204" s="716"/>
      <c r="F204" s="716"/>
      <c r="G204" s="717"/>
    </row>
    <row r="205" spans="1:8" ht="13.15" customHeight="1">
      <c r="A205" s="692" t="s">
        <v>982</v>
      </c>
      <c r="B205" s="697"/>
      <c r="C205" s="716"/>
      <c r="D205" s="716"/>
      <c r="E205" s="716"/>
      <c r="F205" s="716"/>
      <c r="G205" s="716"/>
    </row>
    <row r="206" spans="1:8" ht="13.15" customHeight="1">
      <c r="A206" s="692" t="s">
        <v>980</v>
      </c>
      <c r="B206" s="697"/>
      <c r="C206" s="716"/>
      <c r="D206" s="716"/>
      <c r="E206" s="716"/>
      <c r="F206" s="716"/>
      <c r="G206" s="716"/>
    </row>
    <row r="207" spans="1:8">
      <c r="A207" s="692" t="s">
        <v>981</v>
      </c>
    </row>
    <row r="208" spans="1:8">
      <c r="A208" s="400" t="s">
        <v>729</v>
      </c>
    </row>
    <row r="209" spans="1:1">
      <c r="A209" s="400"/>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43"/>
  <sheetViews>
    <sheetView zoomScaleNormal="100" workbookViewId="0"/>
  </sheetViews>
  <sheetFormatPr defaultColWidth="9.28515625" defaultRowHeight="12.75"/>
  <cols>
    <col min="1" max="1" width="7.5703125" style="203" customWidth="1"/>
    <col min="2" max="2" width="20.140625" style="203" customWidth="1"/>
    <col min="3" max="3" width="12.5703125" style="206" customWidth="1"/>
    <col min="4" max="4" width="12.42578125" style="203" customWidth="1"/>
    <col min="5" max="5" width="2.7109375" style="203" customWidth="1"/>
    <col min="6" max="6" width="12.5703125" style="206" customWidth="1"/>
    <col min="7" max="7" width="12.140625" style="203" customWidth="1"/>
    <col min="8" max="8" width="2.7109375" style="203" customWidth="1"/>
    <col min="9" max="9" width="12.5703125" style="206" customWidth="1"/>
    <col min="10" max="10" width="12.140625" style="203" customWidth="1"/>
    <col min="11" max="11" width="2.7109375" style="207" customWidth="1"/>
    <col min="12" max="12" width="12.5703125" style="206" customWidth="1"/>
    <col min="13" max="13" width="12.140625" style="203" customWidth="1"/>
    <col min="14" max="14" width="2.7109375" style="203" customWidth="1"/>
    <col min="15" max="15" width="12.5703125" style="206" customWidth="1"/>
    <col min="16" max="16" width="11.140625" style="203" bestFit="1" customWidth="1"/>
    <col min="17" max="16384" width="9.28515625" style="203"/>
  </cols>
  <sheetData>
    <row r="1" spans="1:16" ht="18">
      <c r="A1" s="840" t="s">
        <v>743</v>
      </c>
      <c r="C1" s="204"/>
      <c r="D1" s="205"/>
      <c r="E1" s="205"/>
    </row>
    <row r="2" spans="1:16" ht="15.75">
      <c r="A2" s="208" t="s">
        <v>744</v>
      </c>
      <c r="D2" s="205"/>
      <c r="E2" s="205"/>
    </row>
    <row r="3" spans="1:16" ht="13.5" thickBot="1">
      <c r="B3" s="209"/>
      <c r="C3" s="210"/>
      <c r="D3" s="209"/>
      <c r="E3" s="209"/>
      <c r="F3" s="210"/>
      <c r="G3" s="209"/>
      <c r="H3" s="209"/>
    </row>
    <row r="4" spans="1:16" ht="15">
      <c r="A4" s="1322"/>
      <c r="B4" s="1323"/>
      <c r="C4" s="211">
        <v>2015</v>
      </c>
      <c r="D4" s="211"/>
      <c r="E4" s="212"/>
      <c r="F4" s="211">
        <v>2016</v>
      </c>
      <c r="G4" s="211"/>
      <c r="H4" s="212"/>
      <c r="I4" s="211">
        <v>2017</v>
      </c>
      <c r="J4" s="211"/>
      <c r="K4" s="212"/>
      <c r="L4" s="841">
        <v>2018</v>
      </c>
      <c r="M4" s="211"/>
    </row>
    <row r="5" spans="1:16" ht="15">
      <c r="A5" s="1321"/>
      <c r="B5" s="1324"/>
      <c r="C5" s="213" t="s">
        <v>403</v>
      </c>
      <c r="D5" s="213"/>
      <c r="E5" s="213"/>
      <c r="F5" s="213" t="s">
        <v>403</v>
      </c>
      <c r="G5" s="213"/>
      <c r="H5" s="213"/>
      <c r="I5" s="213" t="s">
        <v>403</v>
      </c>
      <c r="J5" s="213"/>
      <c r="K5" s="213"/>
      <c r="L5" s="213" t="s">
        <v>403</v>
      </c>
      <c r="M5" s="213"/>
    </row>
    <row r="6" spans="1:16" ht="15">
      <c r="A6" s="1325" t="s">
        <v>745</v>
      </c>
      <c r="B6" s="1326"/>
      <c r="C6" s="214" t="s">
        <v>746</v>
      </c>
      <c r="D6" s="214" t="s">
        <v>20</v>
      </c>
      <c r="E6" s="214"/>
      <c r="F6" s="214" t="s">
        <v>746</v>
      </c>
      <c r="G6" s="214" t="s">
        <v>20</v>
      </c>
      <c r="H6" s="214"/>
      <c r="I6" s="214" t="s">
        <v>746</v>
      </c>
      <c r="J6" s="214" t="s">
        <v>20</v>
      </c>
      <c r="K6" s="214"/>
      <c r="L6" s="214" t="s">
        <v>746</v>
      </c>
      <c r="M6" s="214" t="s">
        <v>20</v>
      </c>
    </row>
    <row r="7" spans="1:16">
      <c r="A7" s="1327"/>
      <c r="B7" s="1327"/>
      <c r="K7" s="203"/>
    </row>
    <row r="8" spans="1:16">
      <c r="A8" s="1321" t="s">
        <v>747</v>
      </c>
      <c r="B8" s="1321"/>
      <c r="C8" s="215">
        <v>133216</v>
      </c>
      <c r="D8" s="216">
        <v>24983019.27</v>
      </c>
      <c r="F8" s="215">
        <v>121162</v>
      </c>
      <c r="G8" s="216">
        <v>24280577.16</v>
      </c>
      <c r="I8" s="215">
        <v>120722</v>
      </c>
      <c r="J8" s="216">
        <v>24645554.41</v>
      </c>
      <c r="K8" s="203"/>
      <c r="L8" s="215">
        <v>183835</v>
      </c>
      <c r="M8" s="1208">
        <v>29014380.25</v>
      </c>
      <c r="O8" s="341"/>
      <c r="P8" s="341"/>
    </row>
    <row r="9" spans="1:16">
      <c r="A9" s="1321" t="s">
        <v>748</v>
      </c>
      <c r="B9" s="1321"/>
      <c r="C9" s="215">
        <v>4192</v>
      </c>
      <c r="D9" s="217">
        <v>846013.25</v>
      </c>
      <c r="F9" s="354">
        <v>5100</v>
      </c>
      <c r="G9" s="355">
        <v>1051243.73</v>
      </c>
      <c r="I9" s="354">
        <v>4335</v>
      </c>
      <c r="J9" s="355">
        <v>912678.09</v>
      </c>
      <c r="K9" s="203"/>
      <c r="L9" s="354">
        <v>5840</v>
      </c>
      <c r="M9" s="355">
        <v>1095441.3999999999</v>
      </c>
      <c r="O9" s="341"/>
      <c r="P9" s="341"/>
    </row>
    <row r="10" spans="1:16" ht="12.75" customHeight="1">
      <c r="A10" s="1333" t="s">
        <v>749</v>
      </c>
      <c r="B10" s="1326"/>
      <c r="C10" s="215">
        <v>16087</v>
      </c>
      <c r="D10" s="217">
        <v>2207737.94</v>
      </c>
      <c r="F10" s="354">
        <v>19576</v>
      </c>
      <c r="G10" s="355">
        <v>2767049.28</v>
      </c>
      <c r="I10" s="354">
        <v>16294</v>
      </c>
      <c r="J10" s="355">
        <v>2252684.7999999998</v>
      </c>
      <c r="K10" s="203"/>
      <c r="L10" s="354">
        <v>19788</v>
      </c>
      <c r="M10" s="355">
        <v>2601852.65</v>
      </c>
      <c r="O10" s="341"/>
      <c r="P10" s="341"/>
    </row>
    <row r="11" spans="1:16">
      <c r="A11" s="1321" t="s">
        <v>750</v>
      </c>
      <c r="B11" s="1321"/>
      <c r="C11" s="215">
        <v>1450</v>
      </c>
      <c r="D11" s="217">
        <v>200916.92</v>
      </c>
      <c r="F11" s="354">
        <v>2004</v>
      </c>
      <c r="G11" s="355">
        <v>301749.59999999998</v>
      </c>
      <c r="I11" s="354">
        <v>1698</v>
      </c>
      <c r="J11" s="355">
        <v>258734.06</v>
      </c>
      <c r="K11" s="203"/>
      <c r="L11" s="354">
        <v>2272</v>
      </c>
      <c r="M11" s="355">
        <v>309898.15000000002</v>
      </c>
      <c r="O11" s="341"/>
      <c r="P11" s="341"/>
    </row>
    <row r="12" spans="1:16">
      <c r="A12" s="1321" t="s">
        <v>751</v>
      </c>
      <c r="B12" s="1321"/>
      <c r="C12" s="215">
        <v>1527</v>
      </c>
      <c r="D12" s="217">
        <v>197452.9</v>
      </c>
      <c r="F12" s="354">
        <v>2397</v>
      </c>
      <c r="G12" s="355">
        <v>330057.33</v>
      </c>
      <c r="I12" s="354">
        <v>2005</v>
      </c>
      <c r="J12" s="355">
        <v>279658.76</v>
      </c>
      <c r="K12" s="203"/>
      <c r="L12" s="354">
        <v>2226</v>
      </c>
      <c r="M12" s="355">
        <v>286306.44</v>
      </c>
      <c r="O12" s="341"/>
      <c r="P12" s="341"/>
    </row>
    <row r="13" spans="1:16">
      <c r="A13" s="218" t="s">
        <v>752</v>
      </c>
      <c r="B13" s="205"/>
      <c r="C13" s="215">
        <v>16788</v>
      </c>
      <c r="D13" s="217">
        <v>7521529.4100000001</v>
      </c>
      <c r="F13" s="354">
        <v>17344</v>
      </c>
      <c r="G13" s="355">
        <v>7908810.4699999997</v>
      </c>
      <c r="I13" s="354">
        <v>16476</v>
      </c>
      <c r="J13" s="355">
        <v>8252959.0099999998</v>
      </c>
      <c r="K13" s="203"/>
      <c r="L13" s="791">
        <v>27635</v>
      </c>
      <c r="M13" s="792">
        <v>8688268.6300000008</v>
      </c>
      <c r="O13" s="341"/>
      <c r="P13" s="341"/>
    </row>
    <row r="14" spans="1:16">
      <c r="A14" s="1321" t="s">
        <v>361</v>
      </c>
      <c r="B14" s="1321"/>
      <c r="C14" s="215">
        <v>123600</v>
      </c>
      <c r="D14" s="217">
        <v>19502431.66</v>
      </c>
      <c r="F14" s="215">
        <v>123561</v>
      </c>
      <c r="G14" s="217">
        <v>20367294.109999999</v>
      </c>
      <c r="I14" s="215">
        <v>129680</v>
      </c>
      <c r="J14" s="217">
        <v>22036178.760000002</v>
      </c>
      <c r="K14" s="203"/>
      <c r="L14" s="354">
        <v>151382</v>
      </c>
      <c r="M14" s="355">
        <v>20855570.129999999</v>
      </c>
      <c r="O14" s="341"/>
      <c r="P14" s="341"/>
    </row>
    <row r="15" spans="1:16">
      <c r="A15" s="1321" t="s">
        <v>362</v>
      </c>
      <c r="B15" s="1321"/>
      <c r="C15" s="215">
        <v>100289</v>
      </c>
      <c r="D15" s="217">
        <v>15395172.949999999</v>
      </c>
      <c r="F15" s="354">
        <v>95201</v>
      </c>
      <c r="G15" s="355">
        <v>15480482.08</v>
      </c>
      <c r="I15" s="354">
        <v>113498</v>
      </c>
      <c r="J15" s="355">
        <v>18806390.030000001</v>
      </c>
      <c r="K15" s="203"/>
      <c r="L15" s="354">
        <v>149958</v>
      </c>
      <c r="M15" s="355">
        <v>20369801.940000001</v>
      </c>
      <c r="O15" s="341"/>
      <c r="P15" s="341"/>
    </row>
    <row r="16" spans="1:16">
      <c r="A16" s="1321" t="s">
        <v>753</v>
      </c>
      <c r="B16" s="1321"/>
      <c r="C16" s="215">
        <v>6378</v>
      </c>
      <c r="D16" s="217">
        <v>542254.4</v>
      </c>
      <c r="F16" s="354">
        <v>7120</v>
      </c>
      <c r="G16" s="355">
        <v>657877.85</v>
      </c>
      <c r="I16" s="354">
        <v>6767</v>
      </c>
      <c r="J16" s="355">
        <v>608096.06999999995</v>
      </c>
      <c r="K16" s="203"/>
      <c r="L16" s="354">
        <v>8267</v>
      </c>
      <c r="M16" s="355">
        <v>686459.6</v>
      </c>
      <c r="O16" s="341"/>
      <c r="P16" s="341"/>
    </row>
    <row r="17" spans="1:22">
      <c r="A17" s="1321" t="s">
        <v>754</v>
      </c>
      <c r="B17" s="1321"/>
      <c r="C17" s="215">
        <v>1587</v>
      </c>
      <c r="D17" s="219">
        <v>415288.01</v>
      </c>
      <c r="F17" s="215">
        <v>1404</v>
      </c>
      <c r="G17" s="219">
        <v>388092.7</v>
      </c>
      <c r="I17" s="215">
        <v>1282</v>
      </c>
      <c r="J17" s="219">
        <v>352987.02</v>
      </c>
      <c r="K17" s="203"/>
      <c r="L17" s="215">
        <v>1732</v>
      </c>
      <c r="M17" s="1209">
        <v>373367.39</v>
      </c>
      <c r="O17" s="341"/>
      <c r="P17" s="341"/>
    </row>
    <row r="18" spans="1:22">
      <c r="A18" s="1120" t="s">
        <v>1124</v>
      </c>
      <c r="B18" s="1121"/>
      <c r="C18" s="1122"/>
      <c r="D18" s="1121"/>
      <c r="E18" s="1121"/>
      <c r="F18" s="1122"/>
      <c r="G18" s="1121"/>
      <c r="H18" s="1121"/>
      <c r="I18" s="1124">
        <v>3275</v>
      </c>
      <c r="J18" s="1123">
        <v>1213098.0900000001</v>
      </c>
      <c r="K18" s="1121"/>
      <c r="L18" s="1124">
        <v>27894</v>
      </c>
      <c r="M18" s="1123">
        <v>8682639.4900000002</v>
      </c>
      <c r="O18" s="203"/>
    </row>
    <row r="19" spans="1:22" ht="7.5" customHeight="1">
      <c r="A19" s="1120"/>
      <c r="B19" s="1121"/>
      <c r="C19" s="1122"/>
      <c r="D19" s="1121"/>
      <c r="E19" s="1121"/>
      <c r="F19" s="1122"/>
      <c r="G19" s="1121"/>
      <c r="H19" s="1121"/>
      <c r="I19" s="1122"/>
      <c r="J19" s="1123"/>
      <c r="K19" s="1121"/>
      <c r="L19" s="1124"/>
      <c r="M19" s="1123"/>
      <c r="O19" s="203"/>
    </row>
    <row r="20" spans="1:22" ht="15" customHeight="1">
      <c r="A20" s="220"/>
      <c r="B20" s="221" t="s">
        <v>755</v>
      </c>
      <c r="C20" s="222">
        <f>SUM(C8:C17)</f>
        <v>405114</v>
      </c>
      <c r="D20" s="223">
        <f>SUM(D8:D17)</f>
        <v>71811816.710000008</v>
      </c>
      <c r="E20" s="221"/>
      <c r="F20" s="222">
        <f>SUM(F8:F17)</f>
        <v>394869</v>
      </c>
      <c r="G20" s="223">
        <f>SUM(G8:G17)</f>
        <v>73533234.310000002</v>
      </c>
      <c r="H20" s="221"/>
      <c r="I20" s="222">
        <f>SUM(I8:I18)</f>
        <v>416032</v>
      </c>
      <c r="J20" s="223">
        <f>SUM(J8:J18)</f>
        <v>79619019.099999994</v>
      </c>
      <c r="K20" s="221"/>
      <c r="L20" s="222">
        <f>SUM(L8:L18)</f>
        <v>580829</v>
      </c>
      <c r="M20" s="223">
        <f>SUM(M8:M18)</f>
        <v>92963986.069999978</v>
      </c>
      <c r="O20" s="341"/>
      <c r="P20" s="341"/>
    </row>
    <row r="21" spans="1:22">
      <c r="G21" s="224"/>
      <c r="J21" s="224"/>
      <c r="L21" s="531"/>
      <c r="M21" s="216"/>
    </row>
    <row r="22" spans="1:22">
      <c r="A22" s="911" t="s">
        <v>19</v>
      </c>
    </row>
    <row r="23" spans="1:22" ht="13.15" customHeight="1">
      <c r="A23" s="897" t="s">
        <v>979</v>
      </c>
    </row>
    <row r="24" spans="1:22" ht="27.75" customHeight="1">
      <c r="A24" s="1334" t="s">
        <v>1141</v>
      </c>
      <c r="B24" s="1316"/>
      <c r="C24" s="1316"/>
      <c r="D24" s="1316"/>
      <c r="E24" s="1316"/>
      <c r="F24" s="1316"/>
      <c r="G24" s="1316"/>
      <c r="H24" s="1316"/>
      <c r="I24" s="1316"/>
      <c r="J24" s="1316"/>
      <c r="K24" s="1316"/>
      <c r="L24" s="1316"/>
      <c r="M24" s="1316"/>
    </row>
    <row r="25" spans="1:22" ht="13.15" customHeight="1">
      <c r="A25" s="226"/>
    </row>
    <row r="26" spans="1:22">
      <c r="B26" s="225"/>
    </row>
    <row r="27" spans="1:22" ht="18">
      <c r="A27" s="227" t="s">
        <v>756</v>
      </c>
      <c r="C27" s="228"/>
    </row>
    <row r="28" spans="1:22" ht="15.75">
      <c r="A28" s="229" t="s">
        <v>757</v>
      </c>
      <c r="C28" s="228"/>
    </row>
    <row r="29" spans="1:22" ht="13.5" thickBot="1">
      <c r="B29" s="228"/>
      <c r="C29" s="228"/>
      <c r="R29" s="1179"/>
      <c r="S29" s="1179"/>
    </row>
    <row r="30" spans="1:22">
      <c r="B30" s="230" t="s">
        <v>758</v>
      </c>
      <c r="C30" s="1328" t="s">
        <v>17</v>
      </c>
      <c r="D30" s="1329"/>
      <c r="Q30" s="989"/>
      <c r="R30" s="1180" t="s">
        <v>758</v>
      </c>
      <c r="S30" s="1180" t="s">
        <v>17</v>
      </c>
      <c r="T30" s="989"/>
      <c r="U30" s="989"/>
      <c r="V30" s="989"/>
    </row>
    <row r="31" spans="1:22" ht="12.75" customHeight="1">
      <c r="B31" s="231">
        <v>2009</v>
      </c>
      <c r="C31" s="232"/>
      <c r="D31" s="455">
        <v>17876422.93</v>
      </c>
      <c r="Q31" s="989"/>
      <c r="R31" s="1282">
        <f t="shared" ref="R31:R40" si="0">B31</f>
        <v>2009</v>
      </c>
      <c r="S31" s="1283">
        <f t="shared" ref="S31:S39" si="1">D31/1000000</f>
        <v>17.87642293</v>
      </c>
      <c r="T31" s="989"/>
      <c r="U31" s="989"/>
      <c r="V31" s="989"/>
    </row>
    <row r="32" spans="1:22" ht="12.75" customHeight="1">
      <c r="B32" s="231">
        <v>2010</v>
      </c>
      <c r="C32" s="232"/>
      <c r="D32" s="233">
        <v>18578293.82</v>
      </c>
      <c r="Q32" s="989"/>
      <c r="R32" s="1282">
        <f t="shared" si="0"/>
        <v>2010</v>
      </c>
      <c r="S32" s="1283">
        <f t="shared" si="1"/>
        <v>18.578293819999999</v>
      </c>
      <c r="T32" s="989"/>
      <c r="U32" s="989"/>
      <c r="V32" s="989"/>
    </row>
    <row r="33" spans="1:22" ht="12.75" customHeight="1">
      <c r="B33" s="231">
        <v>2011</v>
      </c>
      <c r="C33" s="232"/>
      <c r="D33" s="234">
        <v>18104923.309999999</v>
      </c>
      <c r="Q33" s="989"/>
      <c r="R33" s="1282">
        <f t="shared" si="0"/>
        <v>2011</v>
      </c>
      <c r="S33" s="1283">
        <f t="shared" si="1"/>
        <v>18.10492331</v>
      </c>
      <c r="T33" s="989"/>
      <c r="U33" s="989"/>
      <c r="V33" s="989"/>
    </row>
    <row r="34" spans="1:22" ht="12.75" customHeight="1">
      <c r="B34" s="231">
        <v>2012</v>
      </c>
      <c r="C34" s="235"/>
      <c r="D34" s="236">
        <v>17368776.620000001</v>
      </c>
      <c r="Q34" s="989"/>
      <c r="R34" s="1282">
        <f t="shared" si="0"/>
        <v>2012</v>
      </c>
      <c r="S34" s="1283">
        <f t="shared" si="1"/>
        <v>17.368776620000002</v>
      </c>
      <c r="T34" s="989"/>
      <c r="U34" s="989"/>
      <c r="V34" s="989"/>
    </row>
    <row r="35" spans="1:22" ht="12.75" customHeight="1">
      <c r="B35" s="237">
        <v>2013</v>
      </c>
      <c r="C35" s="238"/>
      <c r="D35" s="236">
        <v>18211926.469999999</v>
      </c>
      <c r="Q35" s="989"/>
      <c r="R35" s="1282">
        <f t="shared" si="0"/>
        <v>2013</v>
      </c>
      <c r="S35" s="1283">
        <f t="shared" si="1"/>
        <v>18.211926469999998</v>
      </c>
      <c r="T35" s="989"/>
      <c r="U35" s="989"/>
      <c r="V35" s="989"/>
    </row>
    <row r="36" spans="1:22" ht="12.75" customHeight="1">
      <c r="B36" s="237">
        <v>2014</v>
      </c>
      <c r="C36" s="238"/>
      <c r="D36" s="239">
        <v>19469019.920000002</v>
      </c>
      <c r="Q36" s="989"/>
      <c r="R36" s="1282">
        <f t="shared" si="0"/>
        <v>2014</v>
      </c>
      <c r="S36" s="1283">
        <f t="shared" si="1"/>
        <v>19.469019920000001</v>
      </c>
      <c r="T36" s="989"/>
      <c r="U36" s="989"/>
      <c r="V36" s="989"/>
    </row>
    <row r="37" spans="1:22" ht="12.75" customHeight="1">
      <c r="B37" s="237">
        <v>2015</v>
      </c>
      <c r="C37" s="240"/>
      <c r="D37" s="239">
        <v>19206043.66</v>
      </c>
      <c r="Q37" s="989"/>
      <c r="R37" s="1282">
        <f t="shared" si="0"/>
        <v>2015</v>
      </c>
      <c r="S37" s="1283">
        <f t="shared" si="1"/>
        <v>19.206043659999999</v>
      </c>
      <c r="T37" s="989"/>
      <c r="U37" s="989"/>
      <c r="V37" s="989"/>
    </row>
    <row r="38" spans="1:22" ht="12.75" customHeight="1">
      <c r="B38" s="241">
        <v>2016</v>
      </c>
      <c r="C38" s="240"/>
      <c r="D38" s="239">
        <v>16359793.289999999</v>
      </c>
      <c r="Q38" s="989"/>
      <c r="R38" s="1282">
        <f t="shared" si="0"/>
        <v>2016</v>
      </c>
      <c r="S38" s="1283">
        <f t="shared" si="1"/>
        <v>16.359793289999999</v>
      </c>
      <c r="T38" s="989"/>
      <c r="U38" s="989"/>
      <c r="V38" s="989"/>
    </row>
    <row r="39" spans="1:22" ht="12.75" customHeight="1">
      <c r="B39" s="237">
        <v>2017</v>
      </c>
      <c r="C39" s="240"/>
      <c r="D39" s="239">
        <v>17431562.34</v>
      </c>
      <c r="Q39" s="989"/>
      <c r="R39" s="1282">
        <f t="shared" si="0"/>
        <v>2017</v>
      </c>
      <c r="S39" s="1283">
        <f t="shared" si="1"/>
        <v>17.431562339999999</v>
      </c>
      <c r="T39" s="989"/>
      <c r="U39" s="989"/>
      <c r="V39" s="989"/>
    </row>
    <row r="40" spans="1:22" ht="12.75" customHeight="1">
      <c r="B40" s="237">
        <v>2018</v>
      </c>
      <c r="C40" s="240"/>
      <c r="D40" s="917">
        <v>16204019.57</v>
      </c>
      <c r="Q40" s="989"/>
      <c r="R40" s="1282">
        <f t="shared" si="0"/>
        <v>2018</v>
      </c>
      <c r="S40" s="1283">
        <f>D40/1000000</f>
        <v>16.20401957</v>
      </c>
      <c r="T40" s="989"/>
      <c r="U40" s="989"/>
      <c r="V40" s="989"/>
    </row>
    <row r="41" spans="1:22">
      <c r="D41" s="1207">
        <f>D40/D39-1</f>
        <v>-7.0420697012520295E-2</v>
      </c>
      <c r="Q41" s="989"/>
      <c r="R41" s="989"/>
      <c r="S41" s="989"/>
      <c r="T41" s="989"/>
      <c r="U41" s="989"/>
      <c r="V41" s="989"/>
    </row>
    <row r="42" spans="1:22" ht="15.75">
      <c r="A42" s="225" t="s">
        <v>19</v>
      </c>
      <c r="B42" s="242"/>
      <c r="C42" s="242"/>
      <c r="D42" s="915"/>
      <c r="I42" s="243"/>
      <c r="J42" s="243"/>
      <c r="Q42" s="989"/>
      <c r="R42" s="989"/>
      <c r="S42" s="989"/>
      <c r="T42" s="989"/>
      <c r="U42" s="989"/>
      <c r="V42" s="989"/>
    </row>
    <row r="43" spans="1:22" ht="39.6" customHeight="1">
      <c r="A43" s="1330" t="s">
        <v>978</v>
      </c>
      <c r="B43" s="1331"/>
      <c r="C43" s="1331"/>
      <c r="D43" s="1331"/>
      <c r="E43" s="1331"/>
      <c r="F43" s="1332"/>
      <c r="G43" s="243"/>
      <c r="H43" s="243"/>
      <c r="K43" s="243"/>
      <c r="L43" s="243"/>
      <c r="M43" s="243"/>
      <c r="N43" s="243"/>
      <c r="O43" s="243"/>
      <c r="Q43" s="989"/>
      <c r="R43" s="989"/>
      <c r="S43" s="989"/>
      <c r="T43" s="989"/>
      <c r="U43" s="989"/>
      <c r="V43" s="989"/>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6">
    <mergeCell ref="A17:B17"/>
    <mergeCell ref="C30:D30"/>
    <mergeCell ref="A43:F43"/>
    <mergeCell ref="A10:B10"/>
    <mergeCell ref="A11:B11"/>
    <mergeCell ref="A12:B12"/>
    <mergeCell ref="A14:B14"/>
    <mergeCell ref="A15:B15"/>
    <mergeCell ref="A16:B16"/>
    <mergeCell ref="A24:M24"/>
    <mergeCell ref="A9:B9"/>
    <mergeCell ref="A4:B4"/>
    <mergeCell ref="A5:B5"/>
    <mergeCell ref="A6:B6"/>
    <mergeCell ref="A7:B7"/>
    <mergeCell ref="A8:B8"/>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52"/>
  <sheetViews>
    <sheetView zoomScaleNormal="100" workbookViewId="0"/>
  </sheetViews>
  <sheetFormatPr defaultColWidth="9.5703125" defaultRowHeight="12.75"/>
  <cols>
    <col min="1" max="1" width="59.5703125" style="247" customWidth="1"/>
    <col min="2" max="2" width="10.140625" style="247" customWidth="1"/>
    <col min="3" max="3" width="12.5703125" style="247" customWidth="1"/>
    <col min="4" max="4" width="2.5703125" style="247" customWidth="1"/>
    <col min="5" max="5" width="10.140625" style="247" customWidth="1"/>
    <col min="6" max="6" width="12.5703125" style="247" customWidth="1"/>
    <col min="7" max="7" width="2.5703125" style="247" customWidth="1"/>
    <col min="8" max="8" width="10.140625" style="275" bestFit="1" customWidth="1"/>
    <col min="9" max="9" width="12.5703125" style="247" customWidth="1"/>
    <col min="10" max="16384" width="9.5703125" style="247"/>
  </cols>
  <sheetData>
    <row r="1" spans="1:12" ht="18">
      <c r="A1" s="842" t="s">
        <v>759</v>
      </c>
      <c r="B1" s="244"/>
      <c r="C1" s="244"/>
      <c r="D1" s="244"/>
      <c r="E1" s="244"/>
      <c r="F1" s="244"/>
      <c r="G1" s="244"/>
      <c r="H1" s="245"/>
      <c r="I1" s="244"/>
      <c r="J1" s="246"/>
    </row>
    <row r="2" spans="1:12" ht="15.75">
      <c r="A2" s="248" t="s">
        <v>760</v>
      </c>
      <c r="C2" s="244"/>
      <c r="D2" s="244"/>
      <c r="E2" s="244"/>
      <c r="F2" s="244"/>
      <c r="G2" s="244"/>
      <c r="H2" s="245"/>
      <c r="I2" s="244"/>
      <c r="J2" s="246"/>
    </row>
    <row r="3" spans="1:12" ht="14.25" thickBot="1">
      <c r="A3" s="249"/>
      <c r="B3" s="249"/>
      <c r="C3" s="249"/>
      <c r="D3" s="249"/>
      <c r="E3" s="249"/>
      <c r="F3" s="249"/>
      <c r="G3" s="249"/>
      <c r="H3" s="250"/>
      <c r="I3" s="249"/>
      <c r="J3" s="246"/>
    </row>
    <row r="4" spans="1:12" ht="13.5">
      <c r="A4" s="251"/>
      <c r="B4" s="1336">
        <v>2016</v>
      </c>
      <c r="C4" s="1343"/>
      <c r="D4" s="252"/>
      <c r="E4" s="1336">
        <v>2017</v>
      </c>
      <c r="F4" s="1337"/>
      <c r="G4" s="252"/>
      <c r="H4" s="1336">
        <v>2018</v>
      </c>
      <c r="I4" s="1337"/>
      <c r="J4" s="246"/>
    </row>
    <row r="5" spans="1:12" s="255" customFormat="1" ht="15">
      <c r="A5" s="253" t="s">
        <v>761</v>
      </c>
      <c r="B5" s="254" t="s">
        <v>762</v>
      </c>
      <c r="C5" s="254" t="s">
        <v>20</v>
      </c>
      <c r="D5" s="254"/>
      <c r="E5" s="254" t="s">
        <v>762</v>
      </c>
      <c r="F5" s="254" t="s">
        <v>20</v>
      </c>
      <c r="G5" s="254"/>
      <c r="H5" s="254" t="s">
        <v>762</v>
      </c>
      <c r="I5" s="254" t="s">
        <v>20</v>
      </c>
      <c r="J5" s="249"/>
    </row>
    <row r="6" spans="1:12" ht="15.6" customHeight="1">
      <c r="A6" s="256" t="s">
        <v>763</v>
      </c>
      <c r="B6" s="250">
        <v>589</v>
      </c>
      <c r="C6" s="257">
        <v>13566.72</v>
      </c>
      <c r="D6" s="258"/>
      <c r="E6" s="250">
        <v>2226</v>
      </c>
      <c r="F6" s="257">
        <v>48940.25</v>
      </c>
      <c r="H6" s="250">
        <v>1681</v>
      </c>
      <c r="I6" s="257">
        <v>32622.68</v>
      </c>
      <c r="J6" s="246"/>
      <c r="K6" s="246"/>
      <c r="L6" s="246"/>
    </row>
    <row r="7" spans="1:12" ht="15.6" customHeight="1">
      <c r="A7" s="259" t="s">
        <v>764</v>
      </c>
      <c r="B7" s="250">
        <v>182</v>
      </c>
      <c r="C7" s="260">
        <v>4422.12</v>
      </c>
      <c r="D7" s="250"/>
      <c r="E7" s="250">
        <v>646</v>
      </c>
      <c r="F7" s="260">
        <v>13398.64</v>
      </c>
      <c r="H7" s="250">
        <v>641</v>
      </c>
      <c r="I7" s="260">
        <v>12070</v>
      </c>
      <c r="J7" s="246"/>
      <c r="K7" s="246"/>
      <c r="L7" s="246"/>
    </row>
    <row r="8" spans="1:12" ht="15.6" customHeight="1">
      <c r="A8" s="285" t="s">
        <v>765</v>
      </c>
      <c r="B8" s="250">
        <v>1097</v>
      </c>
      <c r="C8" s="260">
        <v>39819.230000000003</v>
      </c>
      <c r="D8" s="250"/>
      <c r="E8" s="250">
        <v>3601</v>
      </c>
      <c r="F8" s="260">
        <v>87143.97</v>
      </c>
      <c r="H8" s="250">
        <v>3282</v>
      </c>
      <c r="I8" s="260">
        <v>74491.98</v>
      </c>
      <c r="J8" s="246"/>
      <c r="K8" s="246"/>
      <c r="L8" s="246"/>
    </row>
    <row r="9" spans="1:12" ht="15.6" customHeight="1">
      <c r="A9" s="259" t="s">
        <v>766</v>
      </c>
      <c r="B9" s="367">
        <v>446</v>
      </c>
      <c r="C9" s="260">
        <v>14867</v>
      </c>
      <c r="D9" s="250"/>
      <c r="E9" s="367">
        <v>1808</v>
      </c>
      <c r="F9" s="260">
        <v>43610.400000000001</v>
      </c>
      <c r="H9" s="367">
        <v>1701</v>
      </c>
      <c r="I9" s="260">
        <v>34905.919999999998</v>
      </c>
      <c r="J9" s="246"/>
      <c r="K9" s="246"/>
      <c r="L9" s="246"/>
    </row>
    <row r="10" spans="1:12" ht="15.6" customHeight="1">
      <c r="A10" s="259" t="s">
        <v>767</v>
      </c>
      <c r="B10" s="367">
        <v>688</v>
      </c>
      <c r="C10" s="260">
        <v>17674.23</v>
      </c>
      <c r="D10" s="250"/>
      <c r="E10" s="367">
        <v>2105</v>
      </c>
      <c r="F10" s="260">
        <v>45028.27</v>
      </c>
      <c r="H10" s="367">
        <v>1762</v>
      </c>
      <c r="I10" s="260">
        <v>34553.26</v>
      </c>
      <c r="J10" s="246"/>
      <c r="K10" s="246"/>
      <c r="L10" s="246"/>
    </row>
    <row r="11" spans="1:12" ht="15.6" customHeight="1">
      <c r="A11" s="259" t="s">
        <v>768</v>
      </c>
      <c r="B11" s="250">
        <v>368</v>
      </c>
      <c r="C11" s="260">
        <v>15366</v>
      </c>
      <c r="D11" s="250"/>
      <c r="E11" s="250">
        <v>1230</v>
      </c>
      <c r="F11" s="260">
        <v>28944.14</v>
      </c>
      <c r="H11" s="250">
        <v>1213</v>
      </c>
      <c r="I11" s="260">
        <v>25353.87</v>
      </c>
      <c r="J11" s="246"/>
      <c r="K11" s="246"/>
      <c r="L11" s="246"/>
    </row>
    <row r="12" spans="1:12" ht="15.6" customHeight="1">
      <c r="A12" s="259" t="s">
        <v>769</v>
      </c>
      <c r="B12" s="250">
        <v>700</v>
      </c>
      <c r="C12" s="260">
        <v>18800.18</v>
      </c>
      <c r="D12" s="250"/>
      <c r="E12" s="250">
        <v>3077</v>
      </c>
      <c r="F12" s="260">
        <v>68659.360000000001</v>
      </c>
      <c r="H12" s="250">
        <v>2598</v>
      </c>
      <c r="I12" s="260">
        <v>52933.760000000002</v>
      </c>
      <c r="J12" s="246"/>
      <c r="K12" s="246"/>
      <c r="L12" s="246"/>
    </row>
    <row r="13" spans="1:12" ht="15.6" customHeight="1">
      <c r="A13" s="918" t="s">
        <v>1025</v>
      </c>
      <c r="B13" s="250">
        <v>7</v>
      </c>
      <c r="C13" s="260">
        <v>200</v>
      </c>
      <c r="D13" s="250"/>
      <c r="E13" s="250">
        <v>2</v>
      </c>
      <c r="F13" s="260">
        <v>70</v>
      </c>
      <c r="H13" s="250">
        <v>0</v>
      </c>
      <c r="I13" s="260">
        <v>0</v>
      </c>
      <c r="J13" s="246"/>
      <c r="K13" s="246"/>
      <c r="L13" s="246"/>
    </row>
    <row r="14" spans="1:12" ht="15.6" customHeight="1">
      <c r="A14" s="931" t="s">
        <v>1026</v>
      </c>
      <c r="B14" s="250">
        <v>6</v>
      </c>
      <c r="C14" s="260">
        <v>165</v>
      </c>
      <c r="D14" s="250"/>
      <c r="E14" s="250">
        <v>1</v>
      </c>
      <c r="F14" s="260">
        <v>20</v>
      </c>
      <c r="H14" s="250">
        <v>0</v>
      </c>
      <c r="I14" s="260">
        <v>0</v>
      </c>
      <c r="J14" s="246"/>
      <c r="K14" s="246"/>
      <c r="L14" s="246"/>
    </row>
    <row r="15" spans="1:12" ht="15.6" customHeight="1">
      <c r="A15" s="259" t="s">
        <v>770</v>
      </c>
      <c r="B15" s="250">
        <v>609</v>
      </c>
      <c r="C15" s="260">
        <v>17324.86</v>
      </c>
      <c r="D15" s="250"/>
      <c r="E15" s="250">
        <v>2458</v>
      </c>
      <c r="F15" s="260">
        <v>49534.14</v>
      </c>
      <c r="H15" s="250">
        <v>2143</v>
      </c>
      <c r="I15" s="260">
        <v>41120.980000000003</v>
      </c>
      <c r="J15" s="246"/>
      <c r="K15" s="246"/>
      <c r="L15" s="246"/>
    </row>
    <row r="16" spans="1:12" ht="15.6" customHeight="1">
      <c r="A16" s="259" t="s">
        <v>771</v>
      </c>
      <c r="B16" s="250">
        <v>1261</v>
      </c>
      <c r="C16" s="260">
        <v>39013.89</v>
      </c>
      <c r="D16" s="250"/>
      <c r="E16" s="250">
        <v>3164</v>
      </c>
      <c r="F16" s="260">
        <v>83670.25</v>
      </c>
      <c r="H16" s="250">
        <v>3285</v>
      </c>
      <c r="I16" s="260">
        <v>82044.710000000006</v>
      </c>
      <c r="J16" s="246"/>
      <c r="K16" s="246"/>
      <c r="L16" s="246"/>
    </row>
    <row r="17" spans="1:12" ht="15.6" customHeight="1">
      <c r="A17" s="918" t="s">
        <v>1027</v>
      </c>
      <c r="B17" s="250">
        <v>5</v>
      </c>
      <c r="C17" s="260">
        <v>124</v>
      </c>
      <c r="D17" s="250"/>
      <c r="E17" s="250">
        <v>3</v>
      </c>
      <c r="F17" s="260">
        <v>120</v>
      </c>
      <c r="H17" s="250">
        <v>0</v>
      </c>
      <c r="I17" s="260">
        <v>0</v>
      </c>
      <c r="J17" s="246"/>
      <c r="K17" s="246"/>
      <c r="L17" s="246"/>
    </row>
    <row r="18" spans="1:12" ht="15.6" customHeight="1">
      <c r="A18" s="285" t="s">
        <v>845</v>
      </c>
      <c r="B18" s="250">
        <v>637</v>
      </c>
      <c r="C18" s="260">
        <v>15130.24</v>
      </c>
      <c r="D18" s="250"/>
      <c r="E18" s="250">
        <v>1942</v>
      </c>
      <c r="F18" s="260">
        <v>36736.89</v>
      </c>
      <c r="H18" s="250">
        <v>2171</v>
      </c>
      <c r="I18" s="260">
        <v>38664.47</v>
      </c>
      <c r="J18" s="246"/>
      <c r="K18" s="246"/>
      <c r="L18" s="246"/>
    </row>
    <row r="19" spans="1:12" ht="15.6" customHeight="1">
      <c r="A19" s="932" t="s">
        <v>1028</v>
      </c>
      <c r="B19" s="250">
        <v>7</v>
      </c>
      <c r="C19" s="260">
        <v>252</v>
      </c>
      <c r="D19" s="250"/>
      <c r="E19" s="250">
        <v>7</v>
      </c>
      <c r="F19" s="260">
        <v>82</v>
      </c>
      <c r="H19" s="250">
        <v>6</v>
      </c>
      <c r="I19" s="260">
        <v>84</v>
      </c>
      <c r="J19" s="246"/>
      <c r="K19" s="246"/>
      <c r="L19" s="246"/>
    </row>
    <row r="20" spans="1:12" ht="15.6" customHeight="1">
      <c r="A20" s="918" t="s">
        <v>1200</v>
      </c>
      <c r="B20" s="250"/>
      <c r="C20" s="260"/>
      <c r="D20" s="250"/>
      <c r="E20" s="250">
        <v>1</v>
      </c>
      <c r="F20" s="260">
        <v>50</v>
      </c>
      <c r="H20" s="250">
        <v>998</v>
      </c>
      <c r="I20" s="260">
        <v>17151.45</v>
      </c>
      <c r="J20" s="246"/>
      <c r="K20" s="246"/>
      <c r="L20" s="246"/>
    </row>
    <row r="21" spans="1:12" s="264" customFormat="1" ht="15.6" customHeight="1">
      <c r="A21" s="261" t="s">
        <v>772</v>
      </c>
      <c r="B21" s="263">
        <v>541</v>
      </c>
      <c r="C21" s="260">
        <v>31980.25</v>
      </c>
      <c r="D21" s="263"/>
      <c r="E21" s="263">
        <v>1334</v>
      </c>
      <c r="F21" s="260">
        <v>43953.33</v>
      </c>
      <c r="H21" s="263">
        <v>1273</v>
      </c>
      <c r="I21" s="260">
        <v>37614.75</v>
      </c>
      <c r="J21" s="246"/>
      <c r="K21" s="246"/>
      <c r="L21" s="246"/>
    </row>
    <row r="22" spans="1:12" ht="15.6" customHeight="1">
      <c r="A22" s="1181" t="s">
        <v>1136</v>
      </c>
      <c r="B22" s="265">
        <v>323</v>
      </c>
      <c r="C22" s="260">
        <v>7442</v>
      </c>
      <c r="D22" s="260"/>
      <c r="E22" s="265">
        <v>20</v>
      </c>
      <c r="F22" s="260">
        <v>304</v>
      </c>
      <c r="G22" s="266"/>
      <c r="H22" s="265">
        <v>6</v>
      </c>
      <c r="I22" s="260">
        <v>423</v>
      </c>
      <c r="J22" s="246"/>
      <c r="K22" s="246"/>
      <c r="L22" s="246"/>
    </row>
    <row r="23" spans="1:12" ht="15.6" customHeight="1">
      <c r="A23" s="918" t="s">
        <v>1029</v>
      </c>
      <c r="B23" s="260">
        <v>6</v>
      </c>
      <c r="C23" s="260">
        <v>220</v>
      </c>
      <c r="D23" s="260"/>
      <c r="E23" s="260">
        <v>1</v>
      </c>
      <c r="F23" s="260">
        <v>25</v>
      </c>
      <c r="G23" s="266"/>
      <c r="H23" s="260">
        <v>0</v>
      </c>
      <c r="I23" s="260">
        <v>0</v>
      </c>
      <c r="J23" s="246"/>
      <c r="K23" s="246"/>
      <c r="L23" s="246"/>
    </row>
    <row r="24" spans="1:12" ht="15.6" customHeight="1">
      <c r="A24" s="259" t="s">
        <v>773</v>
      </c>
      <c r="B24" s="265">
        <v>678</v>
      </c>
      <c r="C24" s="260">
        <v>18473.599999999999</v>
      </c>
      <c r="D24" s="260"/>
      <c r="E24" s="265">
        <v>2170</v>
      </c>
      <c r="F24" s="260">
        <v>46049.85</v>
      </c>
      <c r="G24" s="266"/>
      <c r="H24" s="265">
        <v>1831</v>
      </c>
      <c r="I24" s="260">
        <v>37980.720000000001</v>
      </c>
      <c r="J24" s="246"/>
      <c r="K24" s="246"/>
      <c r="L24" s="246"/>
    </row>
    <row r="25" spans="1:12" ht="15.6" customHeight="1">
      <c r="A25" s="918" t="s">
        <v>1030</v>
      </c>
      <c r="B25" s="260">
        <v>4</v>
      </c>
      <c r="C25" s="260">
        <v>170</v>
      </c>
      <c r="D25" s="267"/>
      <c r="E25" s="260">
        <v>4</v>
      </c>
      <c r="F25" s="260">
        <v>155</v>
      </c>
      <c r="G25" s="266"/>
      <c r="H25" s="260">
        <v>0</v>
      </c>
      <c r="I25" s="260">
        <v>0</v>
      </c>
      <c r="J25" s="246"/>
      <c r="K25" s="246"/>
      <c r="L25" s="246"/>
    </row>
    <row r="26" spans="1:12" ht="15.6" customHeight="1">
      <c r="A26" s="259" t="s">
        <v>774</v>
      </c>
      <c r="B26" s="250">
        <v>471</v>
      </c>
      <c r="C26" s="260">
        <v>13318</v>
      </c>
      <c r="D26" s="267"/>
      <c r="E26" s="250">
        <v>1600</v>
      </c>
      <c r="F26" s="260">
        <v>33485.279999999999</v>
      </c>
      <c r="H26" s="250">
        <v>1246</v>
      </c>
      <c r="I26" s="260">
        <v>24994.47</v>
      </c>
      <c r="J26" s="246"/>
      <c r="K26" s="246"/>
      <c r="L26" s="246"/>
    </row>
    <row r="27" spans="1:12" ht="15.6" customHeight="1">
      <c r="A27" s="259" t="s">
        <v>775</v>
      </c>
      <c r="B27" s="250">
        <v>465</v>
      </c>
      <c r="C27" s="260">
        <v>11605.89</v>
      </c>
      <c r="D27" s="267"/>
      <c r="E27" s="250">
        <v>1902</v>
      </c>
      <c r="F27" s="260">
        <v>42383.28</v>
      </c>
      <c r="H27" s="250">
        <v>1679</v>
      </c>
      <c r="I27" s="260">
        <v>37630.160000000003</v>
      </c>
      <c r="J27" s="246"/>
      <c r="K27" s="246"/>
      <c r="L27" s="246"/>
    </row>
    <row r="28" spans="1:12" ht="15.6" customHeight="1">
      <c r="A28" s="918" t="s">
        <v>1031</v>
      </c>
      <c r="B28" s="250">
        <v>10</v>
      </c>
      <c r="C28" s="260">
        <v>218</v>
      </c>
      <c r="D28" s="267"/>
      <c r="E28" s="250">
        <v>5</v>
      </c>
      <c r="F28" s="260">
        <v>295</v>
      </c>
      <c r="H28" s="250">
        <v>0</v>
      </c>
      <c r="I28" s="260">
        <v>0</v>
      </c>
      <c r="J28" s="246"/>
      <c r="K28" s="246"/>
      <c r="L28" s="246"/>
    </row>
    <row r="29" spans="1:12" ht="15.6" customHeight="1">
      <c r="A29" s="259" t="s">
        <v>776</v>
      </c>
      <c r="B29" s="250">
        <v>601</v>
      </c>
      <c r="C29" s="260">
        <v>17964</v>
      </c>
      <c r="D29" s="267"/>
      <c r="E29" s="250">
        <v>1804</v>
      </c>
      <c r="F29" s="260">
        <v>44190.239999999998</v>
      </c>
      <c r="H29" s="250">
        <v>1796</v>
      </c>
      <c r="I29" s="260">
        <v>38476.67</v>
      </c>
      <c r="J29" s="246"/>
      <c r="K29" s="246"/>
      <c r="L29" s="246"/>
    </row>
    <row r="30" spans="1:12" ht="15.6" customHeight="1">
      <c r="A30" s="285" t="s">
        <v>777</v>
      </c>
      <c r="B30" s="250">
        <v>789</v>
      </c>
      <c r="C30" s="260">
        <v>22894.55</v>
      </c>
      <c r="D30" s="267"/>
      <c r="E30" s="250">
        <v>1635</v>
      </c>
      <c r="F30" s="260">
        <v>43001.86</v>
      </c>
      <c r="H30" s="250">
        <v>1565</v>
      </c>
      <c r="I30" s="260">
        <v>40105.050000000003</v>
      </c>
      <c r="J30" s="246"/>
      <c r="K30" s="246"/>
      <c r="L30" s="246"/>
    </row>
    <row r="31" spans="1:12" ht="15.6" customHeight="1">
      <c r="A31" s="918" t="s">
        <v>1032</v>
      </c>
      <c r="B31" s="250">
        <v>7</v>
      </c>
      <c r="C31" s="260">
        <v>152</v>
      </c>
      <c r="D31" s="267"/>
      <c r="E31" s="250">
        <v>2</v>
      </c>
      <c r="F31" s="260">
        <v>36</v>
      </c>
      <c r="H31" s="250">
        <v>0</v>
      </c>
      <c r="I31" s="260">
        <v>0</v>
      </c>
      <c r="J31" s="246"/>
      <c r="K31" s="246"/>
      <c r="L31" s="246"/>
    </row>
    <row r="32" spans="1:12" ht="13.5">
      <c r="A32" s="285" t="s">
        <v>940</v>
      </c>
      <c r="B32" s="263">
        <v>1110</v>
      </c>
      <c r="C32" s="263">
        <v>712691</v>
      </c>
      <c r="D32" s="269"/>
      <c r="E32" s="263">
        <v>983</v>
      </c>
      <c r="F32" s="263">
        <v>648929</v>
      </c>
      <c r="G32" s="258"/>
      <c r="H32" s="263">
        <v>949</v>
      </c>
      <c r="I32" s="263">
        <v>599362.82999999996</v>
      </c>
      <c r="J32" s="246"/>
    </row>
    <row r="33" spans="1:10" ht="13.5">
      <c r="A33" s="920" t="s">
        <v>1041</v>
      </c>
      <c r="B33" s="263">
        <v>72</v>
      </c>
      <c r="C33" s="263">
        <v>1387</v>
      </c>
      <c r="D33" s="269"/>
      <c r="E33" s="263">
        <v>384</v>
      </c>
      <c r="F33" s="263">
        <v>5534.87</v>
      </c>
      <c r="G33" s="258"/>
      <c r="H33" s="263">
        <v>339</v>
      </c>
      <c r="I33" s="263">
        <v>3939.81</v>
      </c>
      <c r="J33" s="246"/>
    </row>
    <row r="34" spans="1:10" ht="13.5">
      <c r="A34" s="920" t="s">
        <v>1033</v>
      </c>
      <c r="B34" s="263">
        <v>69</v>
      </c>
      <c r="C34" s="263">
        <v>2147</v>
      </c>
      <c r="D34" s="269"/>
      <c r="E34" s="263">
        <v>144</v>
      </c>
      <c r="F34" s="263">
        <v>3640.9300000000003</v>
      </c>
      <c r="G34" s="258"/>
      <c r="H34" s="263">
        <v>134</v>
      </c>
      <c r="I34" s="263">
        <v>2876</v>
      </c>
      <c r="J34" s="246"/>
    </row>
    <row r="35" spans="1:10" ht="13.5">
      <c r="A35" s="920" t="s">
        <v>1034</v>
      </c>
      <c r="B35" s="263">
        <v>197</v>
      </c>
      <c r="C35" s="263">
        <v>4975</v>
      </c>
      <c r="D35" s="269"/>
      <c r="E35" s="263">
        <v>678</v>
      </c>
      <c r="F35" s="263">
        <v>13666.7</v>
      </c>
      <c r="G35" s="258"/>
      <c r="H35" s="263">
        <v>655</v>
      </c>
      <c r="I35" s="263">
        <v>11081.45</v>
      </c>
      <c r="J35" s="246"/>
    </row>
    <row r="36" spans="1:10" ht="13.5">
      <c r="A36" s="920" t="s">
        <v>1036</v>
      </c>
      <c r="B36" s="263">
        <v>80</v>
      </c>
      <c r="C36" s="263">
        <v>1247</v>
      </c>
      <c r="D36" s="269"/>
      <c r="E36" s="263">
        <v>297</v>
      </c>
      <c r="F36" s="263">
        <v>3809</v>
      </c>
      <c r="G36" s="258"/>
      <c r="H36" s="263">
        <v>323</v>
      </c>
      <c r="I36" s="263">
        <v>4349.53</v>
      </c>
      <c r="J36" s="246"/>
    </row>
    <row r="37" spans="1:10" ht="13.5">
      <c r="A37" s="920" t="s">
        <v>1035</v>
      </c>
      <c r="B37" s="263">
        <v>320</v>
      </c>
      <c r="C37" s="263">
        <v>8591.25</v>
      </c>
      <c r="D37" s="269"/>
      <c r="E37" s="263">
        <v>1149</v>
      </c>
      <c r="F37" s="263">
        <v>21960.7</v>
      </c>
      <c r="G37" s="258"/>
      <c r="H37" s="263">
        <v>1097</v>
      </c>
      <c r="I37" s="263">
        <v>18276.84</v>
      </c>
      <c r="J37" s="246"/>
    </row>
    <row r="38" spans="1:10" ht="13.5">
      <c r="A38" s="920" t="s">
        <v>1037</v>
      </c>
      <c r="B38" s="263">
        <v>239</v>
      </c>
      <c r="C38" s="263">
        <v>4318</v>
      </c>
      <c r="D38" s="269"/>
      <c r="E38" s="263">
        <v>953</v>
      </c>
      <c r="F38" s="263">
        <v>15759.09</v>
      </c>
      <c r="G38" s="258"/>
      <c r="H38" s="263">
        <v>982</v>
      </c>
      <c r="I38" s="263">
        <v>14017</v>
      </c>
      <c r="J38" s="246"/>
    </row>
    <row r="39" spans="1:10" ht="13.5">
      <c r="A39" s="920" t="s">
        <v>1038</v>
      </c>
      <c r="B39" s="263">
        <v>77</v>
      </c>
      <c r="C39" s="263">
        <v>1045</v>
      </c>
      <c r="D39" s="269"/>
      <c r="E39" s="263">
        <v>136</v>
      </c>
      <c r="F39" s="263">
        <v>1481</v>
      </c>
      <c r="G39" s="258"/>
      <c r="H39" s="263">
        <v>134</v>
      </c>
      <c r="I39" s="263">
        <v>3315</v>
      </c>
      <c r="J39" s="246"/>
    </row>
    <row r="40" spans="1:10" ht="13.5">
      <c r="A40" s="920" t="s">
        <v>1039</v>
      </c>
      <c r="B40" s="263">
        <v>196</v>
      </c>
      <c r="C40" s="263">
        <v>3715</v>
      </c>
      <c r="D40" s="269"/>
      <c r="E40" s="263">
        <v>1604</v>
      </c>
      <c r="F40" s="263">
        <v>31516.35</v>
      </c>
      <c r="G40" s="258"/>
      <c r="H40" s="263">
        <v>1518</v>
      </c>
      <c r="I40" s="263">
        <v>28169.599999999999</v>
      </c>
      <c r="J40" s="246"/>
    </row>
    <row r="41" spans="1:10" ht="13.5">
      <c r="A41" s="920" t="s">
        <v>1040</v>
      </c>
      <c r="B41" s="263">
        <v>657</v>
      </c>
      <c r="C41" s="263">
        <v>19802.099999999999</v>
      </c>
      <c r="D41" s="269"/>
      <c r="E41" s="263">
        <v>2789</v>
      </c>
      <c r="F41" s="263">
        <v>72059.73</v>
      </c>
      <c r="G41" s="258"/>
      <c r="H41" s="263">
        <v>2811</v>
      </c>
      <c r="I41" s="263">
        <v>71122.28</v>
      </c>
      <c r="J41" s="246"/>
    </row>
    <row r="42" spans="1:10" ht="13.5">
      <c r="A42" s="918"/>
      <c r="B42" s="263"/>
      <c r="C42" s="258"/>
      <c r="D42" s="269"/>
      <c r="E42" s="263"/>
      <c r="F42" s="258"/>
      <c r="G42" s="258"/>
      <c r="H42" s="263"/>
      <c r="I42" s="258"/>
      <c r="J42" s="246"/>
    </row>
    <row r="43" spans="1:10" ht="15" customHeight="1">
      <c r="A43" s="919" t="s">
        <v>17</v>
      </c>
      <c r="B43" s="270">
        <f>SUM(B6:B41)</f>
        <v>13514</v>
      </c>
      <c r="C43" s="270">
        <f t="shared" ref="C43:I43" si="0">SUM(C6:C41)</f>
        <v>1081082.1100000001</v>
      </c>
      <c r="D43" s="270"/>
      <c r="E43" s="270">
        <f t="shared" si="0"/>
        <v>41865</v>
      </c>
      <c r="F43" s="270">
        <f t="shared" si="0"/>
        <v>1578244.52</v>
      </c>
      <c r="G43" s="270"/>
      <c r="H43" s="270">
        <f t="shared" si="0"/>
        <v>39819</v>
      </c>
      <c r="I43" s="270">
        <f t="shared" si="0"/>
        <v>1419732.2400000002</v>
      </c>
      <c r="J43" s="246"/>
    </row>
    <row r="44" spans="1:10" ht="9" customHeight="1">
      <c r="A44" s="268"/>
      <c r="B44" s="271"/>
      <c r="C44" s="272"/>
      <c r="D44" s="273"/>
      <c r="E44" s="271"/>
      <c r="F44" s="274"/>
      <c r="G44" s="274"/>
      <c r="H44" s="271"/>
      <c r="I44" s="271"/>
      <c r="J44" s="246"/>
    </row>
    <row r="45" spans="1:10" ht="15" customHeight="1">
      <c r="A45" s="262" t="s">
        <v>1</v>
      </c>
      <c r="B45" s="271"/>
      <c r="C45" s="273"/>
      <c r="D45" s="273"/>
      <c r="E45" s="271"/>
      <c r="F45" s="274"/>
      <c r="G45" s="274"/>
      <c r="H45" s="271"/>
      <c r="I45" s="274"/>
      <c r="J45" s="246"/>
    </row>
    <row r="46" spans="1:10" ht="27.75" customHeight="1">
      <c r="A46" s="1338" t="s">
        <v>778</v>
      </c>
      <c r="B46" s="1338"/>
      <c r="C46" s="1338"/>
      <c r="D46" s="1338"/>
      <c r="E46" s="1338"/>
      <c r="F46" s="1338"/>
      <c r="G46" s="1338"/>
      <c r="H46" s="1338"/>
      <c r="I46" s="1338"/>
      <c r="J46" s="246"/>
    </row>
    <row r="47" spans="1:10" ht="39.75" customHeight="1">
      <c r="A47" s="1339" t="s">
        <v>1192</v>
      </c>
      <c r="B47" s="1339"/>
      <c r="C47" s="1339"/>
      <c r="D47" s="1339"/>
      <c r="E47" s="1339"/>
      <c r="F47" s="1339"/>
      <c r="G47" s="1339"/>
      <c r="H47" s="1339"/>
      <c r="I47" s="1339"/>
      <c r="J47" s="246"/>
    </row>
    <row r="48" spans="1:10" ht="27.75" customHeight="1">
      <c r="A48" s="1339" t="s">
        <v>1019</v>
      </c>
      <c r="B48" s="1339"/>
      <c r="C48" s="1339"/>
      <c r="D48" s="1339"/>
      <c r="E48" s="1339"/>
      <c r="F48" s="1339"/>
      <c r="G48" s="1339"/>
      <c r="H48" s="1339"/>
      <c r="I48" s="1339"/>
      <c r="J48" s="246"/>
    </row>
    <row r="49" spans="1:10" ht="16.149999999999999" customHeight="1">
      <c r="A49" s="1340" t="s">
        <v>1129</v>
      </c>
      <c r="B49" s="1341"/>
      <c r="C49" s="1341"/>
      <c r="D49" s="1341"/>
      <c r="E49" s="1341"/>
      <c r="F49" s="1341"/>
      <c r="G49" s="1341"/>
      <c r="H49" s="1341"/>
      <c r="I49" s="1341"/>
      <c r="J49" s="246"/>
    </row>
    <row r="50" spans="1:10" ht="39.75" customHeight="1">
      <c r="A50" s="1342" t="s">
        <v>1191</v>
      </c>
      <c r="B50" s="1335"/>
      <c r="C50" s="1335"/>
      <c r="D50" s="1335"/>
      <c r="E50" s="1335"/>
      <c r="F50" s="1335"/>
      <c r="G50" s="1335"/>
      <c r="H50" s="1335"/>
      <c r="I50" s="1335"/>
      <c r="J50" s="246"/>
    </row>
    <row r="51" spans="1:10" ht="15.75" customHeight="1">
      <c r="A51" s="1335" t="s">
        <v>1202</v>
      </c>
      <c r="B51" s="1335"/>
      <c r="C51" s="1335"/>
      <c r="D51" s="1335"/>
      <c r="E51" s="1335"/>
      <c r="F51" s="1335"/>
      <c r="G51" s="1335"/>
      <c r="H51" s="1335"/>
      <c r="I51" s="1335"/>
    </row>
    <row r="52" spans="1:10" ht="13.5">
      <c r="A52" s="1335" t="s">
        <v>1042</v>
      </c>
      <c r="B52" s="1335"/>
      <c r="C52" s="1335"/>
      <c r="D52" s="1335"/>
      <c r="E52" s="1335"/>
      <c r="F52" s="1335"/>
      <c r="G52" s="1335"/>
      <c r="H52" s="1335"/>
      <c r="I52" s="1335"/>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10">
    <mergeCell ref="A52:I52"/>
    <mergeCell ref="A51:I51"/>
    <mergeCell ref="E4:F4"/>
    <mergeCell ref="H4:I4"/>
    <mergeCell ref="A46:I46"/>
    <mergeCell ref="A47:I47"/>
    <mergeCell ref="A49:I49"/>
    <mergeCell ref="A50:I50"/>
    <mergeCell ref="A48:I48"/>
    <mergeCell ref="B4:C4"/>
  </mergeCells>
  <conditionalFormatting sqref="J6:L31">
    <cfRule type="cellIs" dxfId="3" priority="1" stopIfTrue="1" operator="equal">
      <formula>0</formula>
    </cfRule>
  </conditionalFormatting>
  <printOptions horizontalCentered="1"/>
  <pageMargins left="0.5" right="0.5" top="0.5" bottom="1" header="0.5" footer="0.5"/>
  <pageSetup scale="60" firstPageNumber="23" orientation="landscape" useFirstPageNumber="1"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2"/>
  <sheetViews>
    <sheetView zoomScaleNormal="100" workbookViewId="0"/>
  </sheetViews>
  <sheetFormatPr defaultColWidth="11.42578125" defaultRowHeight="15"/>
  <cols>
    <col min="1" max="1" width="36.28515625" style="148" bestFit="1" customWidth="1"/>
    <col min="2" max="3" width="11.42578125" style="148" customWidth="1"/>
    <col min="4" max="4" width="16" style="148" bestFit="1" customWidth="1"/>
    <col min="5" max="5" width="11.42578125" style="148" customWidth="1"/>
    <col min="6" max="6" width="14" style="148" bestFit="1" customWidth="1"/>
    <col min="7" max="16384" width="11.42578125" style="148"/>
  </cols>
  <sheetData>
    <row r="1" spans="1:6" ht="18">
      <c r="A1" s="833" t="s">
        <v>357</v>
      </c>
    </row>
    <row r="2" spans="1:6" ht="15.75">
      <c r="A2" s="149" t="s">
        <v>358</v>
      </c>
    </row>
    <row r="3" spans="1:6" ht="15.75" thickBot="1"/>
    <row r="4" spans="1:6" ht="15.75" thickTop="1">
      <c r="A4" s="151" t="s">
        <v>33</v>
      </c>
      <c r="B4" s="151"/>
      <c r="C4" s="151"/>
      <c r="D4" s="151" t="s">
        <v>20</v>
      </c>
      <c r="E4" s="150"/>
    </row>
    <row r="5" spans="1:6">
      <c r="A5" s="152">
        <v>2010</v>
      </c>
      <c r="B5" s="153"/>
      <c r="C5" s="153"/>
      <c r="D5" s="456">
        <v>806472760</v>
      </c>
      <c r="E5" s="154"/>
    </row>
    <row r="6" spans="1:6">
      <c r="A6" s="152">
        <v>2011</v>
      </c>
      <c r="B6" s="153"/>
      <c r="C6" s="153"/>
      <c r="D6" s="156">
        <v>822258802.83999991</v>
      </c>
      <c r="E6" s="154"/>
    </row>
    <row r="7" spans="1:6">
      <c r="A7" s="152">
        <v>2012</v>
      </c>
      <c r="B7" s="153"/>
      <c r="C7" s="153"/>
      <c r="D7" s="155">
        <v>859922839.54999995</v>
      </c>
      <c r="E7" s="154"/>
    </row>
    <row r="8" spans="1:6">
      <c r="A8" s="157">
        <v>2013</v>
      </c>
      <c r="B8" s="153"/>
      <c r="C8" s="153"/>
      <c r="D8" s="156">
        <v>796728154.4000001</v>
      </c>
      <c r="E8" s="154"/>
      <c r="F8" s="156"/>
    </row>
    <row r="9" spans="1:6">
      <c r="A9" s="157">
        <v>2014</v>
      </c>
      <c r="B9" s="153"/>
      <c r="C9" s="153"/>
      <c r="D9" s="156">
        <v>757490742.09000015</v>
      </c>
      <c r="E9" s="154"/>
    </row>
    <row r="10" spans="1:6">
      <c r="A10" s="157">
        <v>2015</v>
      </c>
      <c r="D10" s="156">
        <v>831906887.15999985</v>
      </c>
      <c r="E10" s="154"/>
    </row>
    <row r="11" spans="1:6">
      <c r="A11" s="157">
        <v>2016</v>
      </c>
      <c r="D11" s="156">
        <v>764948013.7700001</v>
      </c>
      <c r="E11" s="154"/>
    </row>
    <row r="12" spans="1:6">
      <c r="A12" s="157">
        <v>2017</v>
      </c>
      <c r="D12" s="158">
        <v>826960822.31000006</v>
      </c>
      <c r="E12" s="154"/>
    </row>
    <row r="13" spans="1:6">
      <c r="A13" s="157">
        <v>2018</v>
      </c>
      <c r="D13" s="158">
        <v>861897138.17999983</v>
      </c>
      <c r="E13" s="853">
        <f>D13/D12-1</f>
        <v>4.2246639656289942E-2</v>
      </c>
    </row>
    <row r="14" spans="1:6">
      <c r="A14" s="157">
        <v>2019</v>
      </c>
      <c r="D14" s="158">
        <v>943390660.94999993</v>
      </c>
      <c r="E14" s="936"/>
    </row>
    <row r="15" spans="1:6">
      <c r="A15" s="157">
        <v>2020</v>
      </c>
      <c r="D15" s="817">
        <f>1456048948.77-254758722.16-189640608.54</f>
        <v>1011649618.0699999</v>
      </c>
      <c r="E15" s="1284"/>
    </row>
    <row r="16" spans="1:6">
      <c r="D16" s="1199"/>
      <c r="E16" s="812"/>
    </row>
    <row r="17" spans="1:4">
      <c r="A17" s="896" t="s">
        <v>1</v>
      </c>
      <c r="B17" s="912"/>
      <c r="C17" s="912"/>
      <c r="D17" s="912"/>
    </row>
    <row r="18" spans="1:4">
      <c r="A18" s="896" t="s">
        <v>359</v>
      </c>
      <c r="B18" s="896"/>
      <c r="C18" s="896"/>
      <c r="D18" s="896"/>
    </row>
    <row r="19" spans="1:4" ht="38.450000000000003" customHeight="1">
      <c r="A19" s="1344" t="s">
        <v>977</v>
      </c>
      <c r="B19" s="1312"/>
      <c r="C19" s="1312"/>
      <c r="D19" s="1312"/>
    </row>
    <row r="20" spans="1:4">
      <c r="A20" s="896"/>
      <c r="B20" s="896"/>
      <c r="C20" s="896"/>
      <c r="D20" s="896"/>
    </row>
    <row r="41" spans="1:4">
      <c r="A41" s="152"/>
      <c r="B41" s="153"/>
      <c r="C41" s="153"/>
      <c r="D41" s="159"/>
    </row>
    <row r="42" spans="1:4">
      <c r="A42" s="157"/>
      <c r="B42" s="153"/>
      <c r="C42" s="153"/>
      <c r="D42" s="160"/>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19:D19"/>
  </mergeCell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31"/>
  <sheetViews>
    <sheetView zoomScaleNormal="100" workbookViewId="0"/>
  </sheetViews>
  <sheetFormatPr defaultColWidth="9.140625" defaultRowHeight="12.75"/>
  <cols>
    <col min="1" max="1" width="27.85546875" style="46" customWidth="1"/>
    <col min="2" max="2" width="21.28515625" style="46" customWidth="1"/>
    <col min="3" max="3" width="3.140625" style="46" customWidth="1"/>
    <col min="4" max="4" width="12.5703125" style="46" customWidth="1"/>
    <col min="5" max="5" width="2.5703125" style="46" customWidth="1"/>
    <col min="6" max="6" width="15.5703125" style="46" bestFit="1" customWidth="1"/>
    <col min="7" max="7" width="2.5703125" style="46" customWidth="1"/>
    <col min="8" max="8" width="9.42578125" style="46" customWidth="1"/>
    <col min="9" max="9" width="2.5703125" style="46" customWidth="1"/>
    <col min="10" max="10" width="15.85546875" style="46" bestFit="1" customWidth="1"/>
    <col min="11" max="11" width="2.5703125" style="46" customWidth="1"/>
    <col min="12" max="12" width="9.42578125" style="46" bestFit="1" customWidth="1"/>
    <col min="13" max="16384" width="9.140625" style="46"/>
  </cols>
  <sheetData>
    <row r="1" spans="1:14" ht="18">
      <c r="A1" s="834" t="s">
        <v>34</v>
      </c>
      <c r="B1" s="44"/>
      <c r="C1" s="44"/>
      <c r="D1" s="45"/>
      <c r="E1" s="45"/>
      <c r="F1" s="44"/>
      <c r="G1" s="44"/>
      <c r="H1" s="45"/>
      <c r="I1" s="45"/>
      <c r="J1" s="44"/>
      <c r="K1" s="44"/>
      <c r="L1" s="45"/>
    </row>
    <row r="2" spans="1:14" ht="15.75">
      <c r="A2" s="42" t="s">
        <v>35</v>
      </c>
      <c r="B2" s="44"/>
      <c r="C2" s="44"/>
      <c r="D2" s="45"/>
      <c r="E2" s="45"/>
      <c r="F2" s="44"/>
      <c r="G2" s="44"/>
      <c r="H2" s="45"/>
      <c r="I2" s="45"/>
      <c r="J2" s="44"/>
      <c r="K2" s="44"/>
      <c r="L2" s="45"/>
    </row>
    <row r="3" spans="1:14">
      <c r="A3" s="370" t="s">
        <v>1154</v>
      </c>
      <c r="B3" s="48"/>
      <c r="C3" s="48"/>
      <c r="D3" s="49"/>
      <c r="E3" s="49"/>
      <c r="F3" s="48"/>
      <c r="G3" s="48"/>
      <c r="H3" s="49"/>
      <c r="I3" s="49"/>
      <c r="J3" s="48"/>
      <c r="K3" s="48"/>
      <c r="L3" s="49"/>
    </row>
    <row r="4" spans="1:14" ht="13.5" thickBot="1">
      <c r="A4" s="47"/>
      <c r="B4" s="48"/>
      <c r="C4" s="48"/>
      <c r="D4" s="49"/>
      <c r="E4" s="49"/>
      <c r="F4" s="48"/>
      <c r="G4" s="48"/>
      <c r="H4" s="49"/>
      <c r="I4" s="49"/>
      <c r="J4" s="48"/>
      <c r="K4" s="48"/>
      <c r="L4" s="49"/>
    </row>
    <row r="5" spans="1:14">
      <c r="A5" s="50" t="s">
        <v>36</v>
      </c>
      <c r="B5" s="1345" t="s">
        <v>1137</v>
      </c>
      <c r="C5" s="1346"/>
      <c r="D5" s="51" t="s">
        <v>37</v>
      </c>
      <c r="E5" s="52"/>
      <c r="F5" s="53" t="s">
        <v>38</v>
      </c>
      <c r="G5" s="53"/>
      <c r="H5" s="51" t="s">
        <v>37</v>
      </c>
      <c r="I5" s="51"/>
      <c r="J5" s="53" t="s">
        <v>39</v>
      </c>
      <c r="K5" s="53"/>
      <c r="L5" s="51" t="s">
        <v>37</v>
      </c>
    </row>
    <row r="6" spans="1:14">
      <c r="A6" s="54" t="s">
        <v>40</v>
      </c>
      <c r="B6" s="1352" t="s">
        <v>974</v>
      </c>
      <c r="C6" s="1353"/>
      <c r="D6" s="56" t="s">
        <v>17</v>
      </c>
      <c r="E6" s="57"/>
      <c r="F6" s="55" t="s">
        <v>22</v>
      </c>
      <c r="G6" s="55"/>
      <c r="H6" s="56" t="s">
        <v>17</v>
      </c>
      <c r="I6" s="56"/>
      <c r="J6" s="55" t="s">
        <v>41</v>
      </c>
      <c r="K6" s="55"/>
      <c r="L6" s="56" t="s">
        <v>17</v>
      </c>
    </row>
    <row r="7" spans="1:14">
      <c r="A7" s="58"/>
      <c r="B7" s="59"/>
      <c r="C7" s="59"/>
      <c r="D7" s="60"/>
      <c r="E7" s="60"/>
      <c r="F7" s="59"/>
      <c r="G7" s="59"/>
      <c r="H7" s="60"/>
      <c r="I7" s="60"/>
      <c r="J7" s="1285"/>
      <c r="K7" s="59"/>
      <c r="L7" s="60"/>
    </row>
    <row r="8" spans="1:14">
      <c r="A8" s="61" t="s">
        <v>42</v>
      </c>
      <c r="B8" s="62">
        <v>43048</v>
      </c>
      <c r="C8" s="48"/>
      <c r="D8" s="63">
        <v>0.62988162650161705</v>
      </c>
      <c r="E8" s="63"/>
      <c r="F8" s="64">
        <v>0</v>
      </c>
      <c r="G8" s="65"/>
      <c r="H8" s="66">
        <v>0</v>
      </c>
      <c r="I8" s="66"/>
      <c r="J8" s="1286">
        <v>7425767</v>
      </c>
      <c r="K8" s="65"/>
      <c r="L8" s="66">
        <v>6.4937362961829002E-3</v>
      </c>
      <c r="M8" s="30"/>
      <c r="N8" s="338"/>
    </row>
    <row r="9" spans="1:14">
      <c r="A9" s="67" t="s">
        <v>43</v>
      </c>
      <c r="B9" s="62">
        <v>14278</v>
      </c>
      <c r="C9" s="48"/>
      <c r="D9" s="63">
        <v>0.20891678738129699</v>
      </c>
      <c r="E9" s="63"/>
      <c r="F9" s="68">
        <v>92154825.109999999</v>
      </c>
      <c r="G9" s="65"/>
      <c r="H9" s="66">
        <v>4.9327159217014103E-3</v>
      </c>
      <c r="I9" s="66"/>
      <c r="J9" s="1287">
        <v>5606479.4000000004</v>
      </c>
      <c r="K9" s="65"/>
      <c r="L9" s="66">
        <v>4.9027930412550999E-3</v>
      </c>
      <c r="M9" s="30"/>
      <c r="N9" s="338"/>
    </row>
    <row r="10" spans="1:14">
      <c r="A10" s="67" t="s">
        <v>44</v>
      </c>
      <c r="B10" s="62">
        <v>2673</v>
      </c>
      <c r="C10" s="48"/>
      <c r="D10" s="63">
        <v>3.9111540318686598E-2</v>
      </c>
      <c r="E10" s="63"/>
      <c r="F10" s="68">
        <v>96376109</v>
      </c>
      <c r="G10" s="69"/>
      <c r="H10" s="66">
        <v>5.1586660467151501E-3</v>
      </c>
      <c r="I10" s="66"/>
      <c r="J10" s="1287">
        <v>5812446.4800000004</v>
      </c>
      <c r="K10" s="69"/>
      <c r="L10" s="66">
        <v>5.0829085637613697E-3</v>
      </c>
      <c r="M10" s="30"/>
      <c r="N10" s="338"/>
    </row>
    <row r="11" spans="1:14">
      <c r="A11" s="67" t="s">
        <v>45</v>
      </c>
      <c r="B11" s="62">
        <v>2390</v>
      </c>
      <c r="C11" s="48"/>
      <c r="D11" s="63">
        <v>3.4970662686741899E-2</v>
      </c>
      <c r="E11" s="63"/>
      <c r="F11" s="68">
        <v>170025447</v>
      </c>
      <c r="G11" s="69"/>
      <c r="H11" s="66">
        <v>9.1008498850733508E-3</v>
      </c>
      <c r="I11" s="66"/>
      <c r="J11" s="1287">
        <v>10201569</v>
      </c>
      <c r="K11" s="69"/>
      <c r="L11" s="66">
        <v>8.9211389063667493E-3</v>
      </c>
      <c r="M11" s="30"/>
      <c r="N11" s="338"/>
    </row>
    <row r="12" spans="1:14">
      <c r="A12" s="67" t="s">
        <v>46</v>
      </c>
      <c r="B12" s="62">
        <v>3540</v>
      </c>
      <c r="C12" s="48"/>
      <c r="D12" s="63">
        <v>5.17975505904043E-2</v>
      </c>
      <c r="E12" s="63"/>
      <c r="F12" s="68">
        <v>804029730</v>
      </c>
      <c r="G12" s="69"/>
      <c r="H12" s="66">
        <v>4.3036815988291802E-2</v>
      </c>
      <c r="I12" s="66"/>
      <c r="J12" s="1287">
        <v>48306216</v>
      </c>
      <c r="K12" s="69"/>
      <c r="L12" s="70">
        <v>4.2243155241802097E-2</v>
      </c>
      <c r="M12" s="30"/>
      <c r="N12" s="338"/>
    </row>
    <row r="13" spans="1:14">
      <c r="A13" s="67" t="s">
        <v>47</v>
      </c>
      <c r="B13" s="62">
        <v>861</v>
      </c>
      <c r="C13" s="48"/>
      <c r="D13" s="63">
        <v>1.2598217813089899E-2</v>
      </c>
      <c r="E13" s="63"/>
      <c r="F13" s="68">
        <v>606486927</v>
      </c>
      <c r="G13" s="69"/>
      <c r="H13" s="66">
        <v>3.2463061131587201E-2</v>
      </c>
      <c r="I13" s="66"/>
      <c r="J13" s="1287">
        <v>36648143</v>
      </c>
      <c r="K13" s="69"/>
      <c r="L13" s="70">
        <v>3.2048322602473402E-2</v>
      </c>
      <c r="M13" s="30"/>
      <c r="N13" s="338"/>
    </row>
    <row r="14" spans="1:14">
      <c r="A14" s="67" t="s">
        <v>48</v>
      </c>
      <c r="B14" s="62">
        <v>565</v>
      </c>
      <c r="C14" s="48"/>
      <c r="D14" s="63">
        <v>8.2671231874515295E-3</v>
      </c>
      <c r="E14" s="63"/>
      <c r="F14" s="68">
        <v>798164763</v>
      </c>
      <c r="G14" s="69"/>
      <c r="H14" s="66">
        <v>4.2722885425604297E-2</v>
      </c>
      <c r="I14" s="66"/>
      <c r="J14" s="1287">
        <v>47889895</v>
      </c>
      <c r="K14" s="69"/>
      <c r="L14" s="66">
        <v>4.1879087962480903E-2</v>
      </c>
      <c r="M14" s="30"/>
      <c r="N14" s="338"/>
    </row>
    <row r="15" spans="1:14">
      <c r="A15" s="67" t="s">
        <v>49</v>
      </c>
      <c r="B15" s="62">
        <v>738</v>
      </c>
      <c r="C15" s="48"/>
      <c r="D15" s="63">
        <v>1.07984724112199E-2</v>
      </c>
      <c r="E15" s="63"/>
      <c r="F15" s="68">
        <v>3147611708.6700001</v>
      </c>
      <c r="G15" s="69"/>
      <c r="H15" s="66">
        <v>0.16848031963771201</v>
      </c>
      <c r="I15" s="66"/>
      <c r="J15" s="1287">
        <v>189336221</v>
      </c>
      <c r="K15" s="69"/>
      <c r="L15" s="66">
        <v>0.16557205343095299</v>
      </c>
      <c r="M15" s="30"/>
      <c r="N15" s="338"/>
    </row>
    <row r="16" spans="1:14">
      <c r="A16" s="67" t="s">
        <v>50</v>
      </c>
      <c r="B16" s="62">
        <v>250</v>
      </c>
      <c r="C16" s="48"/>
      <c r="D16" s="63">
        <v>3.6580191094918299E-3</v>
      </c>
      <c r="E16" s="63"/>
      <c r="F16" s="68">
        <v>12975301274</v>
      </c>
      <c r="G16" s="69"/>
      <c r="H16" s="66">
        <v>0.69452115075618703</v>
      </c>
      <c r="I16" s="66"/>
      <c r="J16" s="1287">
        <v>792767743</v>
      </c>
      <c r="K16" s="69"/>
      <c r="L16" s="66">
        <v>0.69326504146468604</v>
      </c>
      <c r="M16" s="30"/>
      <c r="N16" s="338"/>
    </row>
    <row r="17" spans="1:12">
      <c r="A17" s="67"/>
      <c r="B17" s="48"/>
      <c r="C17" s="48"/>
      <c r="D17" s="71"/>
      <c r="E17" s="71"/>
      <c r="F17" s="48"/>
      <c r="G17" s="48"/>
      <c r="H17" s="71"/>
      <c r="I17" s="71"/>
      <c r="J17" s="1288"/>
      <c r="K17" s="48"/>
      <c r="L17" s="71"/>
    </row>
    <row r="18" spans="1:12">
      <c r="A18" s="72" t="s">
        <v>51</v>
      </c>
      <c r="B18" s="73">
        <f>SUM(B8:B16)</f>
        <v>68343</v>
      </c>
      <c r="C18" s="74"/>
      <c r="D18" s="75">
        <f>SUM(D8:D16)</f>
        <v>0.99999999999999989</v>
      </c>
      <c r="E18" s="75"/>
      <c r="F18" s="76">
        <f>SUM(F8:F16)</f>
        <v>18690150783.779999</v>
      </c>
      <c r="G18" s="77"/>
      <c r="H18" s="75">
        <f>SUM(H8:H16)</f>
        <v>1.0004164647928722</v>
      </c>
      <c r="I18" s="75"/>
      <c r="J18" s="1289">
        <f>SUM(J8:J16)</f>
        <v>1143994479.8800001</v>
      </c>
      <c r="K18" s="77"/>
      <c r="L18" s="342">
        <f>SUM(L8:L16)</f>
        <v>1.0004082375099617</v>
      </c>
    </row>
    <row r="19" spans="1:12">
      <c r="A19" s="78"/>
      <c r="B19" s="79"/>
      <c r="C19" s="79"/>
      <c r="D19" s="80"/>
      <c r="E19" s="80"/>
      <c r="F19" s="81"/>
      <c r="G19" s="81"/>
      <c r="H19" s="81"/>
      <c r="I19" s="80"/>
      <c r="J19" s="1290"/>
      <c r="K19" s="81"/>
      <c r="L19" s="80"/>
    </row>
    <row r="20" spans="1:12">
      <c r="A20" s="448" t="s">
        <v>52</v>
      </c>
      <c r="B20" s="62"/>
      <c r="C20" s="48"/>
      <c r="D20" s="71"/>
      <c r="E20" s="82"/>
      <c r="F20" s="62">
        <v>-7780549.4500007601</v>
      </c>
      <c r="G20" s="48"/>
      <c r="H20" s="339">
        <v>-4.1646479287213401E-4</v>
      </c>
      <c r="I20" s="71"/>
      <c r="J20" s="1291">
        <v>-466830.88000011398</v>
      </c>
      <c r="K20" s="48"/>
      <c r="L20" s="71">
        <v>-4.0823750996169802E-4</v>
      </c>
    </row>
    <row r="21" spans="1:12">
      <c r="A21" s="61"/>
      <c r="B21" s="48"/>
      <c r="C21" s="48"/>
      <c r="D21" s="82"/>
      <c r="E21" s="82"/>
      <c r="F21" s="69"/>
      <c r="G21" s="69"/>
      <c r="H21" s="69"/>
      <c r="I21" s="71"/>
      <c r="J21" s="1288"/>
      <c r="K21" s="48"/>
      <c r="L21" s="71"/>
    </row>
    <row r="22" spans="1:12">
      <c r="A22" s="83" t="s">
        <v>53</v>
      </c>
      <c r="B22" s="84"/>
      <c r="C22" s="84"/>
      <c r="D22" s="85"/>
      <c r="E22" s="85"/>
      <c r="F22" s="88">
        <f>SUM(F18,F20)</f>
        <v>18682370234.329998</v>
      </c>
      <c r="G22" s="86"/>
      <c r="H22" s="87">
        <f>SUM(H18,H20)</f>
        <v>1</v>
      </c>
      <c r="I22" s="85"/>
      <c r="J22" s="1292">
        <f>SUM(J18,J20)</f>
        <v>1143527649</v>
      </c>
      <c r="K22" s="86"/>
      <c r="L22" s="87">
        <f>SUM(L18,L20)</f>
        <v>1</v>
      </c>
    </row>
    <row r="23" spans="1:12">
      <c r="A23" s="468"/>
      <c r="B23" s="89"/>
      <c r="C23" s="89"/>
      <c r="D23" s="90"/>
      <c r="E23" s="90"/>
      <c r="F23" s="91"/>
      <c r="G23" s="91"/>
      <c r="H23" s="90"/>
      <c r="I23" s="90"/>
      <c r="J23" s="91"/>
      <c r="K23" s="91"/>
      <c r="L23" s="90"/>
    </row>
    <row r="24" spans="1:12" ht="13.15" customHeight="1">
      <c r="A24" s="78" t="s">
        <v>1</v>
      </c>
      <c r="B24" s="92"/>
      <c r="C24" s="92"/>
      <c r="D24" s="93"/>
      <c r="E24" s="93"/>
      <c r="F24" s="94"/>
      <c r="G24" s="94"/>
      <c r="H24" s="93"/>
      <c r="I24" s="93"/>
      <c r="J24" s="94"/>
      <c r="K24" s="94"/>
      <c r="L24" s="93"/>
    </row>
    <row r="25" spans="1:12" ht="26.45" customHeight="1">
      <c r="A25" s="1351" t="s">
        <v>975</v>
      </c>
      <c r="B25" s="1316"/>
      <c r="C25" s="1316"/>
      <c r="D25" s="1316"/>
      <c r="E25" s="1316"/>
      <c r="F25" s="1316"/>
      <c r="G25" s="1316"/>
      <c r="H25" s="1316"/>
      <c r="I25" s="1316"/>
      <c r="J25" s="1316"/>
      <c r="K25" s="1316"/>
      <c r="L25" s="1316"/>
    </row>
    <row r="26" spans="1:12" ht="13.15" customHeight="1">
      <c r="A26" s="526" t="s">
        <v>976</v>
      </c>
      <c r="B26" s="48"/>
      <c r="C26" s="48"/>
      <c r="D26" s="49"/>
      <c r="E26" s="49"/>
      <c r="F26" s="48"/>
      <c r="G26" s="48"/>
      <c r="H26" s="49"/>
      <c r="I26" s="49"/>
      <c r="J26" s="95"/>
      <c r="K26" s="95"/>
      <c r="L26" s="49"/>
    </row>
    <row r="27" spans="1:12" ht="13.15" customHeight="1">
      <c r="A27" s="47" t="s">
        <v>54</v>
      </c>
      <c r="B27" s="48"/>
      <c r="C27" s="48"/>
      <c r="D27" s="49"/>
      <c r="E27" s="49"/>
      <c r="F27" s="48"/>
      <c r="G27" s="48"/>
      <c r="H27" s="49"/>
      <c r="I27" s="49"/>
      <c r="J27" s="48"/>
      <c r="K27" s="48"/>
      <c r="L27" s="49"/>
    </row>
    <row r="28" spans="1:12" ht="13.15" customHeight="1">
      <c r="A28" s="47" t="s">
        <v>55</v>
      </c>
      <c r="B28" s="48"/>
      <c r="C28" s="48"/>
      <c r="D28" s="49"/>
      <c r="E28" s="49"/>
      <c r="F28" s="48"/>
      <c r="G28" s="48"/>
      <c r="H28" s="49"/>
      <c r="I28" s="49"/>
      <c r="J28" s="48"/>
      <c r="K28" s="48"/>
      <c r="L28" s="49"/>
    </row>
    <row r="29" spans="1:12" ht="39" customHeight="1">
      <c r="A29" s="1349" t="s">
        <v>1177</v>
      </c>
      <c r="B29" s="1316"/>
      <c r="C29" s="1316"/>
      <c r="D29" s="1316"/>
      <c r="E29" s="1316"/>
      <c r="F29" s="1316"/>
      <c r="G29" s="1316"/>
      <c r="H29" s="1316"/>
      <c r="I29" s="1316"/>
      <c r="J29" s="1316"/>
      <c r="K29" s="1316"/>
      <c r="L29" s="1316"/>
    </row>
    <row r="30" spans="1:12" ht="26.45" customHeight="1">
      <c r="A30" s="1347" t="s">
        <v>1155</v>
      </c>
      <c r="B30" s="1348"/>
      <c r="C30" s="1348"/>
      <c r="D30" s="1348"/>
      <c r="E30" s="1348"/>
      <c r="F30" s="1348"/>
      <c r="G30" s="1348"/>
      <c r="H30" s="1348"/>
      <c r="I30" s="1348"/>
      <c r="J30" s="1348"/>
      <c r="K30" s="1348"/>
      <c r="L30" s="1348"/>
    </row>
    <row r="31" spans="1:12" ht="26.45" customHeight="1">
      <c r="A31" s="1349"/>
      <c r="B31" s="1350"/>
      <c r="C31" s="1350"/>
      <c r="D31" s="1350"/>
      <c r="E31" s="1350"/>
      <c r="F31" s="1350"/>
      <c r="G31" s="1350"/>
      <c r="H31" s="1350"/>
      <c r="I31" s="1350"/>
      <c r="J31" s="1350"/>
      <c r="K31" s="1350"/>
      <c r="L31" s="1348"/>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6">
    <mergeCell ref="B5:C5"/>
    <mergeCell ref="A30:L30"/>
    <mergeCell ref="A31:L31"/>
    <mergeCell ref="A25:L25"/>
    <mergeCell ref="A29:L29"/>
    <mergeCell ref="B6:C6"/>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F61"/>
  <sheetViews>
    <sheetView zoomScaleNormal="100" workbookViewId="0"/>
  </sheetViews>
  <sheetFormatPr defaultRowHeight="12.75"/>
  <cols>
    <col min="1" max="1" width="26.42578125" style="144" customWidth="1"/>
    <col min="2" max="2" width="68.42578125" style="144" customWidth="1"/>
    <col min="3" max="3" width="27.42578125" style="144" bestFit="1" customWidth="1"/>
    <col min="4" max="4" width="36" style="144" bestFit="1" customWidth="1"/>
    <col min="5" max="5" width="12.42578125" bestFit="1" customWidth="1"/>
    <col min="6" max="6" width="14.28515625" style="144" bestFit="1" customWidth="1"/>
  </cols>
  <sheetData>
    <row r="1" spans="1:6" ht="18">
      <c r="A1" s="829" t="s">
        <v>56</v>
      </c>
    </row>
    <row r="2" spans="1:6" ht="15.75">
      <c r="A2" s="145" t="s">
        <v>1194</v>
      </c>
    </row>
    <row r="3" spans="1:6" ht="14.25">
      <c r="A3" s="340" t="s">
        <v>1156</v>
      </c>
    </row>
    <row r="4" spans="1:6" ht="13.5" thickBot="1">
      <c r="A4" s="146"/>
      <c r="B4" s="146"/>
      <c r="C4" s="146"/>
      <c r="D4" s="146"/>
      <c r="E4" s="147"/>
      <c r="F4" s="146"/>
    </row>
    <row r="5" spans="1:6" ht="27.75" customHeight="1" thickTop="1">
      <c r="A5" s="793" t="s">
        <v>295</v>
      </c>
      <c r="B5" s="793" t="s">
        <v>227</v>
      </c>
      <c r="C5" s="793" t="s">
        <v>228</v>
      </c>
      <c r="D5" s="793" t="s">
        <v>296</v>
      </c>
      <c r="E5" s="793" t="s">
        <v>297</v>
      </c>
      <c r="F5" s="793" t="s">
        <v>20</v>
      </c>
    </row>
    <row r="6" spans="1:6" ht="13.15" customHeight="1">
      <c r="A6" s="343"/>
      <c r="B6" s="343"/>
      <c r="C6" s="343"/>
      <c r="D6" s="343"/>
      <c r="E6" s="343"/>
      <c r="F6" s="343"/>
    </row>
    <row r="7" spans="1:6" ht="13.15" customHeight="1">
      <c r="A7" s="344" t="s">
        <v>229</v>
      </c>
      <c r="B7" s="344" t="s">
        <v>315</v>
      </c>
      <c r="C7" s="345" t="s">
        <v>230</v>
      </c>
      <c r="D7" s="344" t="s">
        <v>927</v>
      </c>
      <c r="E7" s="393">
        <v>3782</v>
      </c>
      <c r="F7" s="394">
        <v>16422450.67</v>
      </c>
    </row>
    <row r="8" spans="1:6" ht="13.15" customHeight="1">
      <c r="A8" s="344" t="s">
        <v>231</v>
      </c>
      <c r="B8" s="344" t="s">
        <v>232</v>
      </c>
      <c r="C8" s="345" t="s">
        <v>233</v>
      </c>
      <c r="D8" s="344" t="s">
        <v>927</v>
      </c>
      <c r="E8" s="393" t="s">
        <v>1138</v>
      </c>
      <c r="F8" s="393">
        <v>934403</v>
      </c>
    </row>
    <row r="9" spans="1:6" ht="13.15" customHeight="1">
      <c r="A9" s="344" t="s">
        <v>234</v>
      </c>
      <c r="B9" s="344" t="s">
        <v>235</v>
      </c>
      <c r="C9" s="345" t="s">
        <v>236</v>
      </c>
      <c r="D9" s="344" t="s">
        <v>298</v>
      </c>
      <c r="E9" s="393">
        <v>107</v>
      </c>
      <c r="F9" s="393">
        <v>230492</v>
      </c>
    </row>
    <row r="10" spans="1:6" ht="13.15" customHeight="1">
      <c r="A10" s="344" t="s">
        <v>237</v>
      </c>
      <c r="B10" s="344" t="s">
        <v>238</v>
      </c>
      <c r="C10" s="345" t="s">
        <v>239</v>
      </c>
      <c r="D10" s="344" t="s">
        <v>927</v>
      </c>
      <c r="E10" s="393">
        <v>0</v>
      </c>
      <c r="F10" s="393">
        <v>0</v>
      </c>
    </row>
    <row r="11" spans="1:6" ht="13.15" customHeight="1">
      <c r="A11" s="794" t="s">
        <v>240</v>
      </c>
      <c r="B11" s="794" t="s">
        <v>241</v>
      </c>
      <c r="C11" s="795" t="s">
        <v>242</v>
      </c>
      <c r="D11" s="794" t="s">
        <v>298</v>
      </c>
      <c r="E11" s="799">
        <v>73</v>
      </c>
      <c r="F11" s="796">
        <v>103986</v>
      </c>
    </row>
    <row r="12" spans="1:6" ht="13.15" customHeight="1">
      <c r="A12" s="344"/>
      <c r="B12" s="344"/>
      <c r="C12" s="345"/>
      <c r="D12" s="344"/>
      <c r="E12" s="393"/>
      <c r="F12" s="346"/>
    </row>
    <row r="13" spans="1:6" ht="25.5">
      <c r="A13" s="347" t="s">
        <v>243</v>
      </c>
      <c r="B13" s="344" t="s">
        <v>244</v>
      </c>
      <c r="C13" s="345" t="s">
        <v>245</v>
      </c>
      <c r="D13" s="344" t="s">
        <v>298</v>
      </c>
      <c r="E13" s="393">
        <v>147</v>
      </c>
      <c r="F13" s="393">
        <v>182721.04</v>
      </c>
    </row>
    <row r="14" spans="1:6" ht="13.15" customHeight="1">
      <c r="A14" s="344" t="s">
        <v>246</v>
      </c>
      <c r="B14" s="344" t="s">
        <v>247</v>
      </c>
      <c r="C14" s="345" t="s">
        <v>248</v>
      </c>
      <c r="D14" s="344" t="s">
        <v>927</v>
      </c>
      <c r="E14" s="393">
        <v>88</v>
      </c>
      <c r="F14" s="393">
        <v>6317551.9400000004</v>
      </c>
    </row>
    <row r="15" spans="1:6" ht="13.15" customHeight="1">
      <c r="A15" s="344" t="s">
        <v>249</v>
      </c>
      <c r="B15" s="344" t="s">
        <v>250</v>
      </c>
      <c r="C15" s="345" t="s">
        <v>251</v>
      </c>
      <c r="D15" s="344" t="s">
        <v>298</v>
      </c>
      <c r="E15" s="393">
        <v>17</v>
      </c>
      <c r="F15" s="393">
        <v>7886272</v>
      </c>
    </row>
    <row r="16" spans="1:6" ht="13.15" customHeight="1">
      <c r="A16" s="344" t="s">
        <v>252</v>
      </c>
      <c r="B16" s="344" t="s">
        <v>253</v>
      </c>
      <c r="C16" s="345" t="s">
        <v>251</v>
      </c>
      <c r="D16" s="344" t="s">
        <v>1195</v>
      </c>
      <c r="E16" s="393">
        <v>0</v>
      </c>
      <c r="F16" s="393">
        <v>0</v>
      </c>
    </row>
    <row r="17" spans="1:6" ht="13.15" customHeight="1">
      <c r="A17" s="794" t="s">
        <v>254</v>
      </c>
      <c r="B17" s="794" t="s">
        <v>255</v>
      </c>
      <c r="C17" s="795" t="s">
        <v>256</v>
      </c>
      <c r="D17" s="794" t="s">
        <v>298</v>
      </c>
      <c r="E17" s="799">
        <v>0</v>
      </c>
      <c r="F17" s="796">
        <v>0</v>
      </c>
    </row>
    <row r="18" spans="1:6" ht="13.15" customHeight="1">
      <c r="A18" s="344"/>
      <c r="B18" s="344"/>
      <c r="C18" s="345"/>
      <c r="D18" s="344"/>
      <c r="E18" s="830"/>
      <c r="F18" s="346"/>
    </row>
    <row r="19" spans="1:6" ht="13.15" customHeight="1">
      <c r="A19" s="344" t="s">
        <v>257</v>
      </c>
      <c r="B19" s="344" t="s">
        <v>316</v>
      </c>
      <c r="C19" s="345" t="s">
        <v>258</v>
      </c>
      <c r="D19" s="344" t="s">
        <v>927</v>
      </c>
      <c r="E19" s="393">
        <v>723</v>
      </c>
      <c r="F19" s="393">
        <v>69046958.159999996</v>
      </c>
    </row>
    <row r="20" spans="1:6" ht="13.15" customHeight="1">
      <c r="A20" s="344" t="s">
        <v>259</v>
      </c>
      <c r="B20" s="344" t="s">
        <v>260</v>
      </c>
      <c r="C20" s="345" t="s">
        <v>261</v>
      </c>
      <c r="D20" s="344" t="s">
        <v>298</v>
      </c>
      <c r="E20" s="393">
        <v>357</v>
      </c>
      <c r="F20" s="393">
        <v>910689.62000000011</v>
      </c>
    </row>
    <row r="21" spans="1:6" ht="13.15" customHeight="1">
      <c r="A21" s="344" t="s">
        <v>262</v>
      </c>
      <c r="B21" s="344" t="s">
        <v>263</v>
      </c>
      <c r="C21" s="345" t="s">
        <v>264</v>
      </c>
      <c r="D21" s="344" t="s">
        <v>927</v>
      </c>
      <c r="E21" s="393" t="s">
        <v>1138</v>
      </c>
      <c r="F21" s="393">
        <v>182511</v>
      </c>
    </row>
    <row r="22" spans="1:6" ht="13.15" customHeight="1">
      <c r="A22" s="344" t="s">
        <v>265</v>
      </c>
      <c r="B22" s="344" t="s">
        <v>266</v>
      </c>
      <c r="C22" s="345" t="s">
        <v>272</v>
      </c>
      <c r="D22" s="344" t="s">
        <v>298</v>
      </c>
      <c r="E22" s="1299">
        <v>104</v>
      </c>
      <c r="F22" s="800">
        <v>2246910.5499999998</v>
      </c>
    </row>
    <row r="23" spans="1:6" ht="13.15" customHeight="1">
      <c r="A23" s="794" t="s">
        <v>267</v>
      </c>
      <c r="B23" s="794" t="s">
        <v>268</v>
      </c>
      <c r="C23" s="795" t="s">
        <v>269</v>
      </c>
      <c r="D23" s="794" t="s">
        <v>299</v>
      </c>
      <c r="E23" s="831">
        <v>224</v>
      </c>
      <c r="F23" s="831">
        <v>426229.97</v>
      </c>
    </row>
    <row r="24" spans="1:6" ht="13.15" customHeight="1">
      <c r="A24" s="344"/>
      <c r="B24" s="344"/>
      <c r="C24" s="345"/>
      <c r="D24" s="344"/>
      <c r="E24" s="393"/>
      <c r="F24" s="801"/>
    </row>
    <row r="25" spans="1:6" ht="13.15" customHeight="1">
      <c r="A25" s="344" t="s">
        <v>270</v>
      </c>
      <c r="B25" s="344" t="s">
        <v>271</v>
      </c>
      <c r="C25" s="345" t="s">
        <v>272</v>
      </c>
      <c r="D25" s="344" t="s">
        <v>299</v>
      </c>
      <c r="E25" s="393">
        <v>370</v>
      </c>
      <c r="F25" s="393">
        <v>3852576.69</v>
      </c>
    </row>
    <row r="26" spans="1:6" ht="13.15" customHeight="1">
      <c r="A26" s="344" t="s">
        <v>273</v>
      </c>
      <c r="B26" s="344" t="s">
        <v>274</v>
      </c>
      <c r="C26" s="345" t="s">
        <v>272</v>
      </c>
      <c r="D26" s="344" t="s">
        <v>298</v>
      </c>
      <c r="E26" s="393">
        <v>42</v>
      </c>
      <c r="F26" s="393">
        <v>92637</v>
      </c>
    </row>
    <row r="27" spans="1:6" ht="13.15" customHeight="1">
      <c r="A27" s="344" t="s">
        <v>275</v>
      </c>
      <c r="B27" s="344" t="s">
        <v>276</v>
      </c>
      <c r="C27" s="345" t="s">
        <v>277</v>
      </c>
      <c r="D27" s="344" t="s">
        <v>298</v>
      </c>
      <c r="E27" s="800">
        <v>5053</v>
      </c>
      <c r="F27" s="800">
        <v>69960511.400000006</v>
      </c>
    </row>
    <row r="28" spans="1:6" ht="13.15" customHeight="1">
      <c r="A28" s="344" t="s">
        <v>278</v>
      </c>
      <c r="B28" s="344" t="s">
        <v>279</v>
      </c>
      <c r="C28" s="345" t="s">
        <v>277</v>
      </c>
      <c r="D28" s="344" t="s">
        <v>299</v>
      </c>
      <c r="E28" s="393">
        <v>173</v>
      </c>
      <c r="F28" s="393">
        <v>6112</v>
      </c>
    </row>
    <row r="29" spans="1:6" ht="13.15" customHeight="1">
      <c r="A29" s="794" t="s">
        <v>280</v>
      </c>
      <c r="B29" s="794" t="s">
        <v>281</v>
      </c>
      <c r="C29" s="795" t="s">
        <v>277</v>
      </c>
      <c r="D29" s="794" t="s">
        <v>298</v>
      </c>
      <c r="E29" s="831">
        <v>291</v>
      </c>
      <c r="F29" s="831">
        <v>878222.79</v>
      </c>
    </row>
    <row r="30" spans="1:6" ht="13.15" customHeight="1"/>
    <row r="31" spans="1:6" ht="13.15" customHeight="1">
      <c r="A31" s="452" t="s">
        <v>282</v>
      </c>
      <c r="B31" s="452" t="s">
        <v>909</v>
      </c>
      <c r="C31" s="453" t="s">
        <v>283</v>
      </c>
      <c r="D31" s="452" t="s">
        <v>300</v>
      </c>
      <c r="E31" s="393">
        <v>7</v>
      </c>
      <c r="F31" s="393">
        <v>1303707</v>
      </c>
    </row>
    <row r="32" spans="1:6" ht="13.15" customHeight="1">
      <c r="A32" s="344" t="s">
        <v>284</v>
      </c>
      <c r="B32" s="344" t="s">
        <v>285</v>
      </c>
      <c r="C32" s="345" t="s">
        <v>286</v>
      </c>
      <c r="D32" s="344" t="s">
        <v>299</v>
      </c>
      <c r="E32" s="393">
        <v>319930</v>
      </c>
      <c r="F32" s="393">
        <v>120364038.2</v>
      </c>
    </row>
    <row r="33" spans="1:6" ht="13.15" customHeight="1">
      <c r="A33" s="344" t="s">
        <v>287</v>
      </c>
      <c r="B33" s="344" t="s">
        <v>288</v>
      </c>
      <c r="C33" s="345" t="s">
        <v>286</v>
      </c>
      <c r="D33" s="344" t="s">
        <v>298</v>
      </c>
      <c r="E33" s="1299">
        <v>128</v>
      </c>
      <c r="F33" s="800">
        <v>463360.2</v>
      </c>
    </row>
    <row r="34" spans="1:6" ht="13.15" customHeight="1">
      <c r="A34" s="344" t="s">
        <v>289</v>
      </c>
      <c r="B34" s="344" t="s">
        <v>290</v>
      </c>
      <c r="C34" s="345" t="s">
        <v>291</v>
      </c>
      <c r="D34" s="344" t="s">
        <v>299</v>
      </c>
      <c r="E34" s="393">
        <v>509</v>
      </c>
      <c r="F34" s="393">
        <v>801055.02</v>
      </c>
    </row>
    <row r="35" spans="1:6" ht="13.15" customHeight="1">
      <c r="A35" s="794" t="s">
        <v>292</v>
      </c>
      <c r="B35" s="794" t="s">
        <v>293</v>
      </c>
      <c r="C35" s="795" t="s">
        <v>294</v>
      </c>
      <c r="D35" s="794" t="s">
        <v>298</v>
      </c>
      <c r="E35" s="831" t="s">
        <v>1138</v>
      </c>
      <c r="F35" s="831">
        <v>843</v>
      </c>
    </row>
    <row r="36" spans="1:6" ht="13.15" customHeight="1"/>
    <row r="37" spans="1:6" ht="13.15" customHeight="1">
      <c r="A37" s="344" t="s">
        <v>839</v>
      </c>
      <c r="B37" s="344" t="s">
        <v>840</v>
      </c>
      <c r="C37" s="345" t="s">
        <v>841</v>
      </c>
      <c r="D37" s="344" t="s">
        <v>298</v>
      </c>
      <c r="E37" s="393">
        <v>9</v>
      </c>
      <c r="F37" s="393">
        <v>46591</v>
      </c>
    </row>
    <row r="38" spans="1:6" ht="13.15" customHeight="1">
      <c r="A38" s="344" t="s">
        <v>842</v>
      </c>
      <c r="B38" s="344" t="s">
        <v>843</v>
      </c>
      <c r="C38" s="345" t="s">
        <v>841</v>
      </c>
      <c r="D38" s="344" t="s">
        <v>298</v>
      </c>
      <c r="E38" s="1299">
        <v>23</v>
      </c>
      <c r="F38" s="800">
        <v>62490</v>
      </c>
    </row>
    <row r="39" spans="1:6" ht="13.15" customHeight="1">
      <c r="A39" s="344" t="s">
        <v>849</v>
      </c>
      <c r="B39" s="344" t="s">
        <v>850</v>
      </c>
      <c r="C39" s="345" t="s">
        <v>950</v>
      </c>
      <c r="D39" s="344" t="s">
        <v>298</v>
      </c>
      <c r="E39" s="454" t="s">
        <v>1138</v>
      </c>
      <c r="F39" s="393">
        <v>7211088</v>
      </c>
    </row>
    <row r="40" spans="1:6" ht="13.15" customHeight="1">
      <c r="A40" s="344" t="s">
        <v>846</v>
      </c>
      <c r="B40" s="344" t="s">
        <v>847</v>
      </c>
      <c r="C40" s="345" t="s">
        <v>848</v>
      </c>
      <c r="D40" s="344" t="s">
        <v>298</v>
      </c>
      <c r="E40" s="393">
        <v>40</v>
      </c>
      <c r="F40" s="393">
        <v>122253</v>
      </c>
    </row>
    <row r="41" spans="1:6" ht="13.15" customHeight="1">
      <c r="A41" s="794" t="s">
        <v>851</v>
      </c>
      <c r="B41" s="794" t="s">
        <v>852</v>
      </c>
      <c r="C41" s="795" t="s">
        <v>848</v>
      </c>
      <c r="D41" s="794" t="s">
        <v>298</v>
      </c>
      <c r="E41" s="831">
        <v>6</v>
      </c>
      <c r="F41" s="831">
        <v>83605.100000000006</v>
      </c>
    </row>
    <row r="42" spans="1:6">
      <c r="E42" s="802"/>
      <c r="F42" s="803"/>
    </row>
    <row r="43" spans="1:6">
      <c r="A43" s="344" t="s">
        <v>853</v>
      </c>
      <c r="B43" s="344" t="s">
        <v>1196</v>
      </c>
      <c r="C43" s="345" t="s">
        <v>848</v>
      </c>
      <c r="D43" s="344" t="s">
        <v>298</v>
      </c>
      <c r="E43" s="393">
        <v>653</v>
      </c>
      <c r="F43" s="393">
        <v>5188868.7300000004</v>
      </c>
    </row>
    <row r="44" spans="1:6">
      <c r="A44" s="344" t="s">
        <v>854</v>
      </c>
      <c r="B44" s="344" t="s">
        <v>855</v>
      </c>
      <c r="C44" s="345" t="s">
        <v>848</v>
      </c>
      <c r="D44" s="344" t="s">
        <v>927</v>
      </c>
      <c r="E44" s="393" t="s">
        <v>1138</v>
      </c>
      <c r="F44" s="798">
        <v>1580.5</v>
      </c>
    </row>
    <row r="45" spans="1:6">
      <c r="A45" s="344" t="s">
        <v>856</v>
      </c>
      <c r="B45" s="344" t="s">
        <v>857</v>
      </c>
      <c r="C45" s="345" t="s">
        <v>848</v>
      </c>
      <c r="D45" s="344" t="s">
        <v>298</v>
      </c>
      <c r="E45" s="393">
        <v>32</v>
      </c>
      <c r="F45" s="393">
        <v>1364332</v>
      </c>
    </row>
    <row r="46" spans="1:6">
      <c r="A46" s="344" t="s">
        <v>862</v>
      </c>
      <c r="B46" s="344" t="s">
        <v>863</v>
      </c>
      <c r="C46" s="345" t="s">
        <v>864</v>
      </c>
      <c r="D46" s="344" t="s">
        <v>298</v>
      </c>
      <c r="E46" s="393">
        <v>5</v>
      </c>
      <c r="F46" s="393">
        <v>64700</v>
      </c>
    </row>
    <row r="47" spans="1:6">
      <c r="A47" s="794" t="s">
        <v>928</v>
      </c>
      <c r="B47" s="1300" t="s">
        <v>929</v>
      </c>
      <c r="C47" s="795" t="s">
        <v>930</v>
      </c>
      <c r="D47" s="794" t="s">
        <v>927</v>
      </c>
      <c r="E47" s="831">
        <v>1354</v>
      </c>
      <c r="F47" s="796">
        <v>11172610.15</v>
      </c>
    </row>
    <row r="49" spans="1:6">
      <c r="A49" s="344" t="s">
        <v>1020</v>
      </c>
      <c r="B49" s="916" t="s">
        <v>1021</v>
      </c>
      <c r="C49" s="345" t="s">
        <v>1022</v>
      </c>
      <c r="D49" s="344" t="s">
        <v>298</v>
      </c>
      <c r="E49" s="797">
        <v>44</v>
      </c>
      <c r="F49" s="798">
        <v>17153765.5</v>
      </c>
    </row>
    <row r="50" spans="1:6">
      <c r="A50" s="344" t="s">
        <v>1023</v>
      </c>
      <c r="B50" s="916" t="s">
        <v>1024</v>
      </c>
      <c r="C50" s="345" t="s">
        <v>1022</v>
      </c>
      <c r="D50" s="344" t="s">
        <v>298</v>
      </c>
      <c r="E50" s="393" t="s">
        <v>1138</v>
      </c>
      <c r="F50" s="798">
        <v>5000</v>
      </c>
    </row>
    <row r="51" spans="1:6">
      <c r="A51" s="794" t="s">
        <v>1172</v>
      </c>
      <c r="B51" s="1300" t="s">
        <v>1173</v>
      </c>
      <c r="C51" s="795" t="s">
        <v>1174</v>
      </c>
      <c r="D51" s="794" t="s">
        <v>927</v>
      </c>
      <c r="E51" s="831">
        <v>0</v>
      </c>
      <c r="F51" s="796">
        <v>0</v>
      </c>
    </row>
    <row r="52" spans="1:6">
      <c r="E52" s="393"/>
      <c r="F52" s="393"/>
    </row>
    <row r="53" spans="1:6">
      <c r="A53" s="144" t="s">
        <v>1</v>
      </c>
      <c r="E53" s="832"/>
      <c r="F53" s="832"/>
    </row>
    <row r="54" spans="1:6" ht="26.45" customHeight="1">
      <c r="A54" s="1354" t="s">
        <v>1171</v>
      </c>
      <c r="B54" s="1354"/>
      <c r="C54" s="1354"/>
      <c r="D54" s="1354"/>
      <c r="E54" s="1354"/>
      <c r="F54" s="1354"/>
    </row>
    <row r="55" spans="1:6">
      <c r="A55" s="348" t="s">
        <v>837</v>
      </c>
    </row>
    <row r="56" spans="1:6">
      <c r="A56" s="348" t="s">
        <v>1197</v>
      </c>
    </row>
    <row r="57" spans="1:6">
      <c r="A57" s="348" t="s">
        <v>838</v>
      </c>
    </row>
    <row r="58" spans="1:6">
      <c r="A58" s="1301" t="s">
        <v>1198</v>
      </c>
    </row>
    <row r="59" spans="1:6">
      <c r="A59" s="1301" t="s">
        <v>1199</v>
      </c>
    </row>
    <row r="60" spans="1:6">
      <c r="A60" s="1355" t="s">
        <v>1170</v>
      </c>
      <c r="B60" s="1355"/>
      <c r="C60" s="1355"/>
      <c r="D60" s="1355"/>
      <c r="E60" s="1355"/>
      <c r="F60" s="1355"/>
    </row>
    <row r="61" spans="1:6">
      <c r="A61" s="1356"/>
      <c r="B61" s="1312"/>
      <c r="C61" s="1312"/>
      <c r="D61" s="1220"/>
      <c r="E61" s="1302"/>
      <c r="F61" s="1302"/>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54:F54"/>
    <mergeCell ref="A60:F60"/>
    <mergeCell ref="A61:C61"/>
  </mergeCells>
  <phoneticPr fontId="13" type="noConversion"/>
  <printOptions horizontalCentered="1" verticalCentered="1"/>
  <pageMargins left="0.6" right="0.64" top="0.75" bottom="0.75" header="0.5" footer="0.5"/>
  <pageSetup scale="59"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P54"/>
  <sheetViews>
    <sheetView defaultGridColor="0" colorId="22" zoomScaleNormal="100" workbookViewId="0"/>
  </sheetViews>
  <sheetFormatPr defaultColWidth="15.140625" defaultRowHeight="15"/>
  <cols>
    <col min="1" max="1" width="13.7109375" style="96" customWidth="1"/>
    <col min="2" max="2" width="14.42578125" style="96" customWidth="1"/>
    <col min="3" max="3" width="14" style="96" customWidth="1"/>
    <col min="4" max="4" width="13.7109375" style="96" customWidth="1"/>
    <col min="5" max="5" width="13.5703125" style="96" customWidth="1"/>
    <col min="6" max="6" width="13.28515625" style="96" customWidth="1"/>
    <col min="7" max="7" width="14.7109375" style="96" customWidth="1"/>
    <col min="8" max="8" width="14.28515625" style="96" customWidth="1"/>
    <col min="9" max="9" width="12.28515625" style="96" customWidth="1"/>
    <col min="10" max="10" width="15.28515625" style="96" customWidth="1"/>
    <col min="11" max="11" width="14.28515625" style="96" customWidth="1"/>
    <col min="12" max="12" width="18.7109375" style="96" customWidth="1"/>
    <col min="13" max="13" width="16" style="96" customWidth="1"/>
    <col min="14" max="16384" width="15.140625" style="96"/>
  </cols>
  <sheetData>
    <row r="1" spans="1:16" ht="18">
      <c r="A1" s="843" t="s">
        <v>204</v>
      </c>
    </row>
    <row r="2" spans="1:16" ht="15.75">
      <c r="A2" s="97" t="s">
        <v>57</v>
      </c>
    </row>
    <row r="3" spans="1:16" ht="15.75" thickBot="1">
      <c r="A3" s="466"/>
      <c r="B3" s="98"/>
      <c r="C3" s="98"/>
      <c r="D3" s="98"/>
      <c r="E3" s="98"/>
      <c r="F3" s="98"/>
      <c r="G3" s="98"/>
      <c r="H3" s="98"/>
      <c r="I3" s="98"/>
      <c r="J3" s="98"/>
      <c r="K3" s="98"/>
      <c r="L3" s="98"/>
      <c r="M3" s="98"/>
      <c r="N3" s="99"/>
      <c r="O3" s="99"/>
    </row>
    <row r="4" spans="1:16" ht="15" customHeight="1">
      <c r="A4" s="107"/>
      <c r="B4" s="1361" t="s">
        <v>58</v>
      </c>
      <c r="C4" s="1361"/>
      <c r="D4" s="1343"/>
      <c r="E4" s="1343"/>
      <c r="F4" s="1343"/>
      <c r="G4" s="1343"/>
      <c r="H4" s="1343"/>
      <c r="I4" s="1343"/>
      <c r="J4" s="107"/>
      <c r="K4" s="1357" t="s">
        <v>59</v>
      </c>
      <c r="L4" s="1357"/>
      <c r="M4" s="107"/>
      <c r="N4" s="99"/>
      <c r="O4" s="99"/>
    </row>
    <row r="5" spans="1:16" ht="13.9" customHeight="1">
      <c r="A5" s="470"/>
      <c r="B5" s="107"/>
      <c r="C5" s="471"/>
      <c r="D5" s="471"/>
      <c r="E5" s="471"/>
      <c r="F5" s="471"/>
      <c r="G5" s="471"/>
      <c r="H5" s="471"/>
      <c r="I5" s="471"/>
      <c r="J5" s="107"/>
      <c r="K5" s="472"/>
      <c r="L5" s="472"/>
      <c r="M5" s="472"/>
      <c r="N5" s="99"/>
      <c r="O5" s="99"/>
    </row>
    <row r="6" spans="1:16">
      <c r="A6" s="474"/>
      <c r="B6" s="475"/>
      <c r="C6" s="476"/>
      <c r="D6" s="476" t="s">
        <v>879</v>
      </c>
      <c r="E6" s="476" t="s">
        <v>881</v>
      </c>
      <c r="F6" s="476" t="s">
        <v>883</v>
      </c>
      <c r="G6" s="476"/>
      <c r="H6" s="476"/>
      <c r="I6" s="476"/>
      <c r="J6" s="477"/>
      <c r="K6" s="472"/>
      <c r="L6" s="473" t="s">
        <v>60</v>
      </c>
      <c r="M6" s="472"/>
      <c r="N6" s="99"/>
      <c r="O6" s="99"/>
    </row>
    <row r="7" spans="1:16">
      <c r="A7" s="474"/>
      <c r="B7" s="475" t="s">
        <v>61</v>
      </c>
      <c r="C7" s="476" t="s">
        <v>62</v>
      </c>
      <c r="D7" s="476" t="s">
        <v>880</v>
      </c>
      <c r="E7" s="476" t="s">
        <v>882</v>
      </c>
      <c r="F7" s="476" t="s">
        <v>884</v>
      </c>
      <c r="G7" s="476" t="s">
        <v>877</v>
      </c>
      <c r="H7" s="476" t="s">
        <v>878</v>
      </c>
      <c r="I7" s="476" t="s">
        <v>1121</v>
      </c>
      <c r="J7" s="477" t="s">
        <v>63</v>
      </c>
      <c r="K7" s="476" t="s">
        <v>59</v>
      </c>
      <c r="L7" s="476" t="s">
        <v>64</v>
      </c>
      <c r="M7" s="476" t="s">
        <v>17</v>
      </c>
      <c r="N7" s="99"/>
      <c r="O7" s="99"/>
    </row>
    <row r="8" spans="1:16" ht="15.75" thickBot="1">
      <c r="A8" s="478" t="s">
        <v>33</v>
      </c>
      <c r="B8" s="478" t="s">
        <v>65</v>
      </c>
      <c r="C8" s="479" t="s">
        <v>66</v>
      </c>
      <c r="D8" s="479" t="s">
        <v>875</v>
      </c>
      <c r="E8" s="479" t="s">
        <v>875</v>
      </c>
      <c r="F8" s="479" t="s">
        <v>876</v>
      </c>
      <c r="G8" s="479" t="s">
        <v>896</v>
      </c>
      <c r="H8" s="479" t="s">
        <v>896</v>
      </c>
      <c r="I8" s="479" t="s">
        <v>1122</v>
      </c>
      <c r="J8" s="480" t="s">
        <v>67</v>
      </c>
      <c r="K8" s="479" t="s">
        <v>68</v>
      </c>
      <c r="L8" s="479" t="s">
        <v>69</v>
      </c>
      <c r="M8" s="479" t="s">
        <v>70</v>
      </c>
      <c r="N8" s="99"/>
      <c r="O8" s="505"/>
    </row>
    <row r="9" spans="1:16" ht="15.75">
      <c r="A9" s="100"/>
      <c r="B9" s="100"/>
      <c r="C9" s="101"/>
      <c r="D9" s="101"/>
      <c r="E9" s="101"/>
      <c r="F9" s="101"/>
      <c r="G9" s="101"/>
      <c r="H9" s="101"/>
      <c r="I9" s="101"/>
      <c r="J9" s="99"/>
      <c r="K9" s="101"/>
      <c r="L9" s="101"/>
      <c r="M9" s="101"/>
      <c r="N9" s="99"/>
      <c r="O9" s="505"/>
      <c r="P9" s="449"/>
    </row>
    <row r="10" spans="1:16">
      <c r="A10" s="102">
        <v>2011</v>
      </c>
      <c r="B10" s="457">
        <v>3012379000</v>
      </c>
      <c r="C10" s="457">
        <v>477329000</v>
      </c>
      <c r="D10" s="809" t="s">
        <v>71</v>
      </c>
      <c r="E10" s="809" t="s">
        <v>71</v>
      </c>
      <c r="F10" s="809" t="s">
        <v>71</v>
      </c>
      <c r="G10" s="809" t="s">
        <v>71</v>
      </c>
      <c r="H10" s="809" t="s">
        <v>71</v>
      </c>
      <c r="I10" s="469"/>
      <c r="J10" s="457">
        <v>3489708000</v>
      </c>
      <c r="K10" s="457">
        <v>1010205000</v>
      </c>
      <c r="L10" s="469">
        <v>204027000</v>
      </c>
      <c r="M10" s="457">
        <v>4762261000</v>
      </c>
      <c r="N10" s="104"/>
      <c r="O10" s="1125">
        <f>M10/1000000000</f>
        <v>4.7622609999999996</v>
      </c>
      <c r="P10" s="450"/>
    </row>
    <row r="11" spans="1:16">
      <c r="A11" s="102">
        <v>2012</v>
      </c>
      <c r="B11" s="103">
        <v>3121503000</v>
      </c>
      <c r="C11" s="103">
        <v>503070000</v>
      </c>
      <c r="D11" s="809" t="s">
        <v>71</v>
      </c>
      <c r="E11" s="809" t="s">
        <v>71</v>
      </c>
      <c r="F11" s="809" t="s">
        <v>71</v>
      </c>
      <c r="G11" s="809" t="s">
        <v>71</v>
      </c>
      <c r="H11" s="809" t="s">
        <v>71</v>
      </c>
      <c r="I11" s="103"/>
      <c r="J11" s="103">
        <v>3624573000</v>
      </c>
      <c r="K11" s="103">
        <v>1052522000</v>
      </c>
      <c r="L11" s="103">
        <v>214098000</v>
      </c>
      <c r="M11" s="103">
        <v>4703940000</v>
      </c>
      <c r="N11" s="104"/>
      <c r="O11" s="1125">
        <f t="shared" ref="O11:O16" si="0">M11/1000000000</f>
        <v>4.7039400000000002</v>
      </c>
      <c r="P11" s="450"/>
    </row>
    <row r="12" spans="1:16">
      <c r="A12" s="102">
        <v>2013</v>
      </c>
      <c r="B12" s="103">
        <v>3219798000</v>
      </c>
      <c r="C12" s="103">
        <v>521180000</v>
      </c>
      <c r="D12" s="809" t="s">
        <v>71</v>
      </c>
      <c r="E12" s="809" t="s">
        <v>71</v>
      </c>
      <c r="F12" s="809" t="s">
        <v>71</v>
      </c>
      <c r="G12" s="809" t="s">
        <v>71</v>
      </c>
      <c r="H12" s="809" t="s">
        <v>71</v>
      </c>
      <c r="I12" s="103"/>
      <c r="J12" s="103">
        <v>3740978000</v>
      </c>
      <c r="K12" s="103">
        <v>1089743000</v>
      </c>
      <c r="L12" s="103">
        <v>221396000</v>
      </c>
      <c r="M12" s="103">
        <v>4891193000</v>
      </c>
      <c r="N12" s="104"/>
      <c r="O12" s="1125">
        <f t="shared" si="0"/>
        <v>4.8911930000000003</v>
      </c>
      <c r="P12" s="450"/>
    </row>
    <row r="13" spans="1:16">
      <c r="A13" s="102">
        <v>2014</v>
      </c>
      <c r="B13" s="103">
        <v>3066456000</v>
      </c>
      <c r="C13" s="103">
        <v>526570000</v>
      </c>
      <c r="D13" s="810">
        <v>146680000</v>
      </c>
      <c r="E13" s="810">
        <v>41908000</v>
      </c>
      <c r="F13" s="810">
        <v>62864000</v>
      </c>
      <c r="G13" s="810">
        <v>203933000</v>
      </c>
      <c r="H13" s="810">
        <v>107424000</v>
      </c>
      <c r="I13" s="103"/>
      <c r="J13" s="103">
        <v>4155835000</v>
      </c>
      <c r="K13" s="103">
        <v>1094794000</v>
      </c>
      <c r="L13" s="103">
        <v>334030000</v>
      </c>
      <c r="M13" s="103">
        <v>5052117000</v>
      </c>
      <c r="N13" s="104"/>
      <c r="O13" s="1125">
        <f>M13/1000000000</f>
        <v>5.052117</v>
      </c>
      <c r="P13" s="450"/>
    </row>
    <row r="14" spans="1:16">
      <c r="A14" s="102">
        <v>2015</v>
      </c>
      <c r="B14" s="103">
        <v>3235444000</v>
      </c>
      <c r="C14" s="103">
        <v>590709000</v>
      </c>
      <c r="D14" s="824">
        <v>176786000</v>
      </c>
      <c r="E14" s="824">
        <v>50520000</v>
      </c>
      <c r="F14" s="824">
        <v>75746000</v>
      </c>
      <c r="G14" s="824">
        <v>246324000</v>
      </c>
      <c r="H14" s="824">
        <v>129918000</v>
      </c>
      <c r="I14" s="103"/>
      <c r="J14" s="103">
        <v>4505447000</v>
      </c>
      <c r="K14" s="103">
        <v>1143330000</v>
      </c>
      <c r="L14" s="103">
        <v>352406000</v>
      </c>
      <c r="M14" s="103">
        <v>5584659000</v>
      </c>
      <c r="N14" s="104"/>
      <c r="O14" s="1125">
        <f t="shared" si="0"/>
        <v>5.5846590000000003</v>
      </c>
      <c r="P14" s="450"/>
    </row>
    <row r="15" spans="1:16">
      <c r="A15" s="102">
        <v>2016</v>
      </c>
      <c r="B15" s="103">
        <v>3295853000</v>
      </c>
      <c r="C15" s="103">
        <v>599055000</v>
      </c>
      <c r="D15" s="824">
        <v>174535000</v>
      </c>
      <c r="E15" s="824">
        <v>49877000</v>
      </c>
      <c r="F15" s="824">
        <v>74782000</v>
      </c>
      <c r="G15" s="824">
        <v>237314000</v>
      </c>
      <c r="H15" s="824">
        <v>126537000</v>
      </c>
      <c r="I15" s="103"/>
      <c r="J15" s="103">
        <v>4557953000</v>
      </c>
      <c r="K15" s="103">
        <v>1188704000</v>
      </c>
      <c r="L15" s="103">
        <v>355547000</v>
      </c>
      <c r="M15" s="103">
        <v>6001183000</v>
      </c>
      <c r="N15" s="104"/>
      <c r="O15" s="1125">
        <f t="shared" si="0"/>
        <v>6.0011830000000002</v>
      </c>
      <c r="P15" s="450"/>
    </row>
    <row r="16" spans="1:16">
      <c r="A16" s="102">
        <v>2017</v>
      </c>
      <c r="B16" s="103">
        <v>3354561000</v>
      </c>
      <c r="C16" s="103">
        <v>615572000</v>
      </c>
      <c r="D16" s="824">
        <v>178770000</v>
      </c>
      <c r="E16" s="824">
        <v>51043000</v>
      </c>
      <c r="F16" s="824">
        <v>76683000</v>
      </c>
      <c r="G16" s="824">
        <v>251601000</v>
      </c>
      <c r="H16" s="824">
        <v>131472000</v>
      </c>
      <c r="I16" s="103"/>
      <c r="J16" s="103">
        <v>4659702000</v>
      </c>
      <c r="K16" s="103">
        <v>1213929000</v>
      </c>
      <c r="L16" s="103">
        <v>365878000</v>
      </c>
      <c r="M16" s="103">
        <v>6102204000</v>
      </c>
      <c r="N16" s="104"/>
      <c r="O16" s="1125">
        <f t="shared" si="0"/>
        <v>6.1022040000000004</v>
      </c>
      <c r="P16" s="450"/>
    </row>
    <row r="17" spans="1:16">
      <c r="A17" s="102">
        <v>2018</v>
      </c>
      <c r="B17" s="356">
        <v>3458249000</v>
      </c>
      <c r="C17" s="356">
        <v>618387000</v>
      </c>
      <c r="D17" s="824">
        <v>186059000</v>
      </c>
      <c r="E17" s="824">
        <v>53159000</v>
      </c>
      <c r="F17" s="824">
        <v>79742000</v>
      </c>
      <c r="G17" s="824">
        <v>256443000</v>
      </c>
      <c r="H17" s="824">
        <v>137059000</v>
      </c>
      <c r="I17" s="356"/>
      <c r="J17" s="103">
        <v>4789098000</v>
      </c>
      <c r="K17" s="103">
        <v>1243480000</v>
      </c>
      <c r="L17" s="356">
        <v>376561000</v>
      </c>
      <c r="M17" s="103">
        <v>6239509000</v>
      </c>
      <c r="N17" s="104"/>
      <c r="O17" s="1125">
        <f>M17/1000000000</f>
        <v>6.239509</v>
      </c>
      <c r="P17" s="451"/>
    </row>
    <row r="18" spans="1:16">
      <c r="A18" s="102">
        <v>2019</v>
      </c>
      <c r="B18" s="356">
        <v>3580355000</v>
      </c>
      <c r="C18" s="356">
        <v>649451000</v>
      </c>
      <c r="D18" s="895">
        <v>191759000</v>
      </c>
      <c r="E18" s="895">
        <v>54797000</v>
      </c>
      <c r="F18" s="895">
        <v>82165000</v>
      </c>
      <c r="G18" s="895">
        <v>263031000</v>
      </c>
      <c r="H18" s="895">
        <v>139640000</v>
      </c>
      <c r="I18" s="1117">
        <v>20358000</v>
      </c>
      <c r="J18" s="103">
        <v>4981556000</v>
      </c>
      <c r="K18" s="103">
        <v>1292804000</v>
      </c>
      <c r="L18" s="356">
        <v>392605000</v>
      </c>
      <c r="M18" s="103">
        <v>6409139000</v>
      </c>
      <c r="N18" s="104"/>
      <c r="O18" s="1125">
        <f>M18/1000000000</f>
        <v>6.4091389999999997</v>
      </c>
      <c r="P18" s="451"/>
    </row>
    <row r="19" spans="1:16">
      <c r="A19" s="102">
        <v>2020</v>
      </c>
      <c r="B19" s="356">
        <f>ROUND(2683258.31+208033441.59+53040341.29+3169525635.96+-34441737.4+2478935.49+173593188.29+-5477492.26+540921001.82+-406044118.99+132233.73+2033538.76+338923.1,-3)</f>
        <v>3706817000</v>
      </c>
      <c r="C19" s="1266">
        <f>ROUND(26831467.7+508394214.76+93910136.99+15332267.26+33555422.32,-3)</f>
        <v>678024000</v>
      </c>
      <c r="D19" s="895">
        <f>ROUND(188570036.52+14033366.21,-3)</f>
        <v>202603000</v>
      </c>
      <c r="E19" s="895">
        <f>ROUND(53877017.19,-3)</f>
        <v>53877000</v>
      </c>
      <c r="F19" s="895">
        <f>ROUND(80816271.36,-3)</f>
        <v>80816000</v>
      </c>
      <c r="G19" s="895">
        <f>ROUND(268747998.96,-3)</f>
        <v>268748000</v>
      </c>
      <c r="H19" s="895">
        <f>ROUND(142864493.59,-3)</f>
        <v>142864000</v>
      </c>
      <c r="I19" s="356">
        <f>ROUND(11363775.22+11366175.1+520.6+505.48,-3)</f>
        <v>22731000</v>
      </c>
      <c r="J19" s="103">
        <f>SUM(B19:I19)</f>
        <v>5156480000</v>
      </c>
      <c r="K19" s="103">
        <f>ROUND(1358988340.78,-3)</f>
        <v>1358988000</v>
      </c>
      <c r="L19" s="356">
        <f>ROUND(406044118.99,-3)</f>
        <v>406044000</v>
      </c>
      <c r="M19" s="103">
        <f>SUM(J19:L19)</f>
        <v>6921512000</v>
      </c>
      <c r="N19" s="104"/>
      <c r="O19" s="1125">
        <f>M19/1000000000</f>
        <v>6.9215119999999999</v>
      </c>
      <c r="P19" s="451"/>
    </row>
    <row r="20" spans="1:16" s="1295" customFormat="1">
      <c r="A20" s="1293"/>
      <c r="B20" s="1294">
        <f>B19/B18-1</f>
        <v>3.5321078496405978E-2</v>
      </c>
      <c r="C20" s="1294">
        <f t="shared" ref="C20:M20" si="1">C19/C18-1</f>
        <v>4.3995620916743583E-2</v>
      </c>
      <c r="D20" s="1294">
        <f t="shared" si="1"/>
        <v>5.6550148884798146E-2</v>
      </c>
      <c r="E20" s="1294">
        <f t="shared" si="1"/>
        <v>-1.6789240286877005E-2</v>
      </c>
      <c r="F20" s="1294">
        <f t="shared" si="1"/>
        <v>-1.6418182924602953E-2</v>
      </c>
      <c r="G20" s="1294">
        <f t="shared" si="1"/>
        <v>2.1735080655892247E-2</v>
      </c>
      <c r="H20" s="1294">
        <f t="shared" si="1"/>
        <v>2.3087940418218267E-2</v>
      </c>
      <c r="I20" s="1294">
        <f t="shared" si="1"/>
        <v>0.11656351311523716</v>
      </c>
      <c r="J20" s="1294">
        <f t="shared" si="1"/>
        <v>3.5114329739543315E-2</v>
      </c>
      <c r="K20" s="1294">
        <f t="shared" si="1"/>
        <v>5.1194148532956341E-2</v>
      </c>
      <c r="L20" s="1294">
        <f t="shared" si="1"/>
        <v>3.4230333286636716E-2</v>
      </c>
      <c r="M20" s="1294">
        <f t="shared" si="1"/>
        <v>7.994412353983904E-2</v>
      </c>
      <c r="O20" s="1296"/>
      <c r="P20" s="1297"/>
    </row>
    <row r="21" spans="1:16" ht="14.25" customHeight="1">
      <c r="A21" s="1112" t="s">
        <v>1125</v>
      </c>
      <c r="B21" s="106"/>
      <c r="C21" s="106"/>
      <c r="D21" s="106"/>
      <c r="E21" s="106"/>
      <c r="F21" s="106"/>
      <c r="G21" s="106"/>
      <c r="H21" s="1110"/>
      <c r="I21" s="1110"/>
      <c r="J21" s="106"/>
      <c r="K21" s="106"/>
      <c r="L21" s="106"/>
      <c r="M21" s="105"/>
      <c r="N21" s="99"/>
      <c r="O21" s="99"/>
      <c r="P21" s="43"/>
    </row>
    <row r="22" spans="1:16" ht="12" customHeight="1">
      <c r="A22" s="107" t="s">
        <v>859</v>
      </c>
      <c r="B22" s="107"/>
      <c r="C22" s="107"/>
      <c r="D22" s="107"/>
      <c r="E22" s="107"/>
      <c r="F22" s="107"/>
      <c r="G22" s="107"/>
      <c r="H22" s="107"/>
      <c r="I22" s="107"/>
      <c r="J22" s="107"/>
      <c r="K22" s="107"/>
      <c r="L22" s="107"/>
      <c r="M22" s="99"/>
      <c r="N22" s="99"/>
      <c r="O22" s="99"/>
      <c r="P22" s="43"/>
    </row>
    <row r="23" spans="1:16" ht="12" customHeight="1">
      <c r="A23" s="107" t="s">
        <v>73</v>
      </c>
      <c r="B23" s="107"/>
      <c r="C23" s="107"/>
      <c r="D23" s="107"/>
      <c r="E23" s="107"/>
      <c r="F23" s="107"/>
      <c r="G23" s="107"/>
      <c r="H23" s="107"/>
      <c r="I23" s="107"/>
      <c r="J23" s="107"/>
      <c r="K23" s="816"/>
      <c r="L23" s="816"/>
      <c r="M23" s="99"/>
      <c r="N23" s="99"/>
      <c r="O23" s="99"/>
      <c r="P23" s="43"/>
    </row>
    <row r="24" spans="1:16" ht="12" customHeight="1">
      <c r="A24" s="719" t="s">
        <v>897</v>
      </c>
      <c r="B24" s="719"/>
      <c r="C24" s="719"/>
      <c r="D24" s="719"/>
      <c r="E24" s="719"/>
      <c r="F24" s="719"/>
      <c r="G24" s="719"/>
      <c r="H24" s="719"/>
      <c r="I24" s="719"/>
      <c r="J24" s="719"/>
      <c r="K24" s="719"/>
      <c r="L24" s="719"/>
      <c r="M24" s="505"/>
      <c r="N24" s="99"/>
      <c r="O24" s="99"/>
    </row>
    <row r="25" spans="1:16" ht="12" customHeight="1">
      <c r="A25" s="719" t="s">
        <v>898</v>
      </c>
      <c r="B25" s="719"/>
      <c r="C25" s="719"/>
      <c r="D25" s="719"/>
      <c r="E25" s="719"/>
      <c r="F25" s="719"/>
      <c r="G25" s="719"/>
      <c r="H25" s="719"/>
      <c r="I25" s="719"/>
      <c r="J25" s="719"/>
      <c r="K25" s="719"/>
      <c r="L25" s="719"/>
      <c r="M25" s="505"/>
      <c r="N25" s="99"/>
      <c r="O25" s="99"/>
    </row>
    <row r="26" spans="1:16" ht="12" customHeight="1">
      <c r="A26" s="719" t="s">
        <v>74</v>
      </c>
      <c r="B26" s="719"/>
      <c r="C26" s="719"/>
      <c r="D26" s="719"/>
      <c r="E26" s="719"/>
      <c r="F26" s="719"/>
      <c r="G26" s="719"/>
      <c r="H26" s="719"/>
      <c r="I26" s="719"/>
      <c r="J26" s="719"/>
      <c r="K26" s="719"/>
      <c r="L26" s="719"/>
      <c r="M26" s="505"/>
      <c r="N26" s="99"/>
      <c r="O26" s="99"/>
    </row>
    <row r="27" spans="1:16" ht="12" customHeight="1">
      <c r="A27" s="719" t="s">
        <v>899</v>
      </c>
      <c r="B27" s="719"/>
      <c r="C27" s="719"/>
      <c r="D27" s="719"/>
      <c r="E27" s="719"/>
      <c r="F27" s="719"/>
      <c r="G27" s="719"/>
      <c r="H27" s="719"/>
      <c r="I27" s="719"/>
      <c r="J27" s="719"/>
      <c r="K27" s="719"/>
      <c r="L27" s="719"/>
      <c r="M27" s="505"/>
      <c r="N27" s="99"/>
      <c r="O27" s="99"/>
    </row>
    <row r="28" spans="1:16" ht="12" customHeight="1">
      <c r="A28" s="1359" t="s">
        <v>973</v>
      </c>
      <c r="B28" s="1360"/>
      <c r="C28" s="1360"/>
      <c r="D28" s="1360"/>
      <c r="E28" s="1360"/>
      <c r="F28" s="1360"/>
      <c r="G28" s="1360"/>
      <c r="H28" s="1360"/>
      <c r="I28" s="1360"/>
      <c r="J28" s="1360"/>
      <c r="K28" s="1360"/>
      <c r="L28" s="1360"/>
      <c r="M28" s="1360"/>
      <c r="N28" s="99"/>
      <c r="O28" s="99"/>
    </row>
    <row r="29" spans="1:16" ht="12" customHeight="1">
      <c r="A29" s="719" t="s">
        <v>75</v>
      </c>
      <c r="B29" s="719"/>
      <c r="C29" s="719"/>
      <c r="D29" s="719"/>
      <c r="E29" s="719"/>
      <c r="F29" s="719"/>
      <c r="G29" s="719"/>
      <c r="H29" s="719"/>
      <c r="I29" s="719"/>
      <c r="J29" s="719"/>
      <c r="K29" s="719"/>
      <c r="L29" s="719"/>
      <c r="M29" s="505"/>
      <c r="N29" s="99"/>
      <c r="O29" s="99"/>
    </row>
    <row r="30" spans="1:16" ht="12" customHeight="1">
      <c r="A30" s="719" t="s">
        <v>972</v>
      </c>
      <c r="B30" s="719"/>
      <c r="C30" s="719"/>
      <c r="D30" s="719"/>
      <c r="E30" s="719"/>
      <c r="F30" s="719"/>
      <c r="G30" s="719"/>
      <c r="H30" s="719"/>
      <c r="I30" s="719"/>
      <c r="J30" s="719"/>
      <c r="K30" s="719"/>
      <c r="L30" s="719"/>
      <c r="M30" s="505"/>
      <c r="N30" s="99"/>
      <c r="O30" s="99"/>
    </row>
    <row r="31" spans="1:16" ht="12" customHeight="1">
      <c r="A31" s="719" t="s">
        <v>1139</v>
      </c>
      <c r="B31" s="719"/>
      <c r="C31" s="719"/>
      <c r="D31" s="719"/>
      <c r="E31" s="719"/>
      <c r="F31" s="719"/>
      <c r="G31" s="719"/>
      <c r="H31" s="719"/>
      <c r="I31" s="719"/>
      <c r="J31" s="719"/>
      <c r="K31" s="719"/>
      <c r="L31" s="719"/>
      <c r="M31" s="505"/>
      <c r="N31" s="99"/>
      <c r="O31" s="99"/>
    </row>
    <row r="32" spans="1:16" ht="25.9" customHeight="1">
      <c r="A32" s="1358" t="s">
        <v>1176</v>
      </c>
      <c r="B32" s="1358"/>
      <c r="C32" s="1358"/>
      <c r="D32" s="1358"/>
      <c r="E32" s="1358"/>
      <c r="F32" s="1358"/>
      <c r="G32" s="1358"/>
      <c r="H32" s="1358"/>
      <c r="I32" s="1358"/>
      <c r="J32" s="1358"/>
      <c r="K32" s="1358"/>
      <c r="L32" s="1358"/>
      <c r="M32" s="1358"/>
      <c r="N32" s="99"/>
      <c r="O32" s="99"/>
    </row>
    <row r="33" spans="1:15" ht="14.45" customHeight="1">
      <c r="A33" s="719" t="s">
        <v>1123</v>
      </c>
      <c r="B33" s="845"/>
      <c r="C33" s="845"/>
      <c r="D33" s="845"/>
      <c r="E33" s="845"/>
      <c r="F33" s="845"/>
      <c r="G33" s="845"/>
      <c r="H33" s="845"/>
      <c r="I33" s="1115"/>
      <c r="J33" s="845"/>
      <c r="K33" s="845"/>
      <c r="L33" s="1108"/>
      <c r="M33" s="845"/>
      <c r="N33" s="99"/>
      <c r="O33" s="99"/>
    </row>
    <row r="34" spans="1:15" ht="12" customHeight="1">
      <c r="A34" s="108"/>
      <c r="B34" s="107"/>
      <c r="C34" s="107"/>
      <c r="D34" s="107"/>
      <c r="E34" s="107"/>
      <c r="F34" s="107"/>
      <c r="G34" s="107"/>
      <c r="H34" s="107"/>
      <c r="I34" s="107"/>
      <c r="J34" s="107"/>
      <c r="K34" s="107"/>
      <c r="L34" s="107"/>
      <c r="M34" s="99"/>
      <c r="N34" s="99"/>
      <c r="O34" s="99"/>
    </row>
    <row r="35" spans="1:15">
      <c r="A35" s="109"/>
      <c r="B35" s="99"/>
      <c r="C35" s="99"/>
      <c r="D35" s="99"/>
      <c r="E35" s="99"/>
      <c r="F35" s="99"/>
      <c r="G35" s="99"/>
      <c r="H35" s="99"/>
      <c r="I35" s="99"/>
      <c r="J35" s="99"/>
      <c r="K35" s="99"/>
      <c r="L35" s="99"/>
      <c r="M35" s="99"/>
      <c r="N35" s="99"/>
      <c r="O35" s="99"/>
    </row>
    <row r="54" spans="1:13" ht="15.75">
      <c r="A54" s="110"/>
      <c r="B54" s="110"/>
      <c r="C54" s="110"/>
      <c r="D54" s="110"/>
      <c r="E54" s="110"/>
      <c r="F54" s="110"/>
      <c r="G54" s="110"/>
      <c r="H54" s="110"/>
      <c r="I54" s="110"/>
      <c r="J54" s="110"/>
      <c r="K54" s="110"/>
      <c r="L54" s="110"/>
      <c r="M54" s="110"/>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K4:L4"/>
    <mergeCell ref="A32:M32"/>
    <mergeCell ref="A28:M28"/>
    <mergeCell ref="B4:I4"/>
  </mergeCells>
  <phoneticPr fontId="3" type="noConversion"/>
  <printOptions horizontalCentered="1"/>
  <pageMargins left="0.5" right="0.5" top="1" bottom="1" header="0.5" footer="0.5"/>
  <pageSetup scale="65" orientation="landscape" r:id="rId2"/>
  <headerFooter alignWithMargins="0"/>
  <rowBreaks count="1" manualBreakCount="1">
    <brk id="55"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workbookViewId="0"/>
  </sheetViews>
  <sheetFormatPr defaultColWidth="9.28515625" defaultRowHeight="12.75"/>
  <cols>
    <col min="1" max="1" width="62.28515625" style="746" customWidth="1"/>
    <col min="2" max="6" width="16.7109375" style="746" customWidth="1"/>
    <col min="7" max="7" width="14.7109375" style="746" bestFit="1" customWidth="1"/>
    <col min="8" max="16384" width="9.28515625" style="746"/>
  </cols>
  <sheetData>
    <row r="1" spans="1:7" ht="15.75">
      <c r="A1" s="745" t="s">
        <v>779</v>
      </c>
    </row>
    <row r="2" spans="1:7" ht="15.75">
      <c r="A2" s="745" t="s">
        <v>780</v>
      </c>
    </row>
    <row r="3" spans="1:7" ht="13.5" thickBot="1"/>
    <row r="4" spans="1:7">
      <c r="A4" s="747" t="s">
        <v>781</v>
      </c>
      <c r="B4" s="748">
        <v>2015</v>
      </c>
      <c r="C4" s="748">
        <v>2016</v>
      </c>
      <c r="D4" s="748">
        <v>2017</v>
      </c>
      <c r="E4" s="748">
        <v>2018</v>
      </c>
      <c r="F4" s="748">
        <v>2019</v>
      </c>
    </row>
    <row r="5" spans="1:7" ht="12" customHeight="1">
      <c r="A5" s="749"/>
      <c r="B5" s="750"/>
      <c r="C5" s="750"/>
    </row>
    <row r="6" spans="1:7">
      <c r="A6" s="751" t="s">
        <v>782</v>
      </c>
      <c r="B6" s="752">
        <v>224112526</v>
      </c>
      <c r="C6" s="752">
        <v>236428402</v>
      </c>
      <c r="D6" s="752">
        <v>248072607</v>
      </c>
      <c r="E6" s="752">
        <v>258214491</v>
      </c>
      <c r="F6" s="752">
        <v>273542329</v>
      </c>
      <c r="G6" s="753"/>
    </row>
    <row r="7" spans="1:7">
      <c r="A7" s="751" t="s">
        <v>783</v>
      </c>
      <c r="B7" s="277">
        <v>741902421</v>
      </c>
      <c r="C7" s="277">
        <v>716489992</v>
      </c>
      <c r="D7" s="277">
        <v>786200361</v>
      </c>
      <c r="E7" s="277">
        <v>733503953</v>
      </c>
      <c r="F7" s="277">
        <v>782912377</v>
      </c>
      <c r="G7" s="753"/>
    </row>
    <row r="8" spans="1:7">
      <c r="A8" s="751" t="s">
        <v>784</v>
      </c>
      <c r="B8" s="277">
        <v>1494043122</v>
      </c>
      <c r="C8" s="277">
        <v>3090199390</v>
      </c>
      <c r="D8" s="277">
        <v>3179148036</v>
      </c>
      <c r="E8" s="277">
        <v>1528641552</v>
      </c>
      <c r="F8" s="277">
        <v>1575312559</v>
      </c>
      <c r="G8" s="753"/>
    </row>
    <row r="9" spans="1:7">
      <c r="A9" s="751" t="s">
        <v>785</v>
      </c>
      <c r="B9" s="277">
        <v>3860487544</v>
      </c>
      <c r="C9" s="277">
        <v>4270364566</v>
      </c>
      <c r="D9" s="277">
        <v>4644849072</v>
      </c>
      <c r="E9" s="277">
        <v>4664340240</v>
      </c>
      <c r="F9" s="277">
        <v>4823802281</v>
      </c>
      <c r="G9" s="753"/>
    </row>
    <row r="10" spans="1:7">
      <c r="A10" s="751" t="s">
        <v>786</v>
      </c>
      <c r="B10" s="277">
        <v>6109462004</v>
      </c>
      <c r="C10" s="277">
        <v>6447657391</v>
      </c>
      <c r="D10" s="277">
        <v>6980772632</v>
      </c>
      <c r="E10" s="277">
        <v>7491164691</v>
      </c>
      <c r="F10" s="277">
        <v>7677482671</v>
      </c>
      <c r="G10" s="753"/>
    </row>
    <row r="11" spans="1:7">
      <c r="A11" s="751" t="s">
        <v>787</v>
      </c>
      <c r="B11" s="277">
        <v>61970141616.18</v>
      </c>
      <c r="C11" s="277">
        <v>60885515373.729996</v>
      </c>
      <c r="D11" s="277">
        <v>60933912762.050003</v>
      </c>
      <c r="E11" s="277">
        <v>63650484514.720001</v>
      </c>
      <c r="F11" s="277">
        <v>63653520267</v>
      </c>
      <c r="G11" s="753"/>
    </row>
    <row r="12" spans="1:7">
      <c r="A12" s="754" t="s">
        <v>788</v>
      </c>
      <c r="B12" s="277">
        <v>2190603196</v>
      </c>
      <c r="C12" s="277">
        <v>2216264489</v>
      </c>
      <c r="D12" s="277">
        <v>2236965490</v>
      </c>
      <c r="E12" s="277">
        <v>2130068742</v>
      </c>
      <c r="F12" s="277">
        <v>2168336133</v>
      </c>
      <c r="G12" s="753"/>
    </row>
    <row r="13" spans="1:7">
      <c r="A13" s="754" t="s">
        <v>789</v>
      </c>
      <c r="B13" s="277">
        <v>5949039176</v>
      </c>
      <c r="C13" s="277">
        <v>4552185948</v>
      </c>
      <c r="D13" s="277">
        <v>4668220968</v>
      </c>
      <c r="E13" s="277">
        <v>6541106925</v>
      </c>
      <c r="F13" s="277">
        <v>6736742934</v>
      </c>
      <c r="G13" s="753"/>
    </row>
    <row r="14" spans="1:7">
      <c r="A14" s="754" t="s">
        <v>790</v>
      </c>
      <c r="B14" s="277">
        <v>17345526543.18</v>
      </c>
      <c r="C14" s="277">
        <v>17610607150.73</v>
      </c>
      <c r="D14" s="277">
        <v>17802669235.049999</v>
      </c>
      <c r="E14" s="277">
        <v>18260313944.720001</v>
      </c>
      <c r="F14" s="277">
        <v>18109540317</v>
      </c>
      <c r="G14" s="753"/>
    </row>
    <row r="15" spans="1:7">
      <c r="A15" s="754" t="s">
        <v>791</v>
      </c>
      <c r="B15" s="277">
        <v>4965141779</v>
      </c>
      <c r="C15" s="277">
        <v>5017295547</v>
      </c>
      <c r="D15" s="277">
        <v>4960521827</v>
      </c>
      <c r="E15" s="277">
        <v>5037699750</v>
      </c>
      <c r="F15" s="277">
        <v>4974648367</v>
      </c>
      <c r="G15" s="753"/>
    </row>
    <row r="16" spans="1:7">
      <c r="A16" s="754" t="s">
        <v>792</v>
      </c>
      <c r="B16" s="277">
        <v>17463362939</v>
      </c>
      <c r="C16" s="277">
        <v>17163435010</v>
      </c>
      <c r="D16" s="277">
        <v>17057160048</v>
      </c>
      <c r="E16" s="277">
        <v>17184985659</v>
      </c>
      <c r="F16" s="277">
        <v>17146456723</v>
      </c>
      <c r="G16" s="753"/>
    </row>
    <row r="17" spans="1:7">
      <c r="A17" s="751" t="s">
        <v>793</v>
      </c>
      <c r="B17" s="277">
        <v>221805862</v>
      </c>
      <c r="C17" s="277">
        <v>217522848</v>
      </c>
      <c r="D17" s="277">
        <v>227218174</v>
      </c>
      <c r="E17" s="277">
        <v>233258397</v>
      </c>
      <c r="F17" s="277">
        <v>226048609</v>
      </c>
      <c r="G17" s="753"/>
    </row>
    <row r="18" spans="1:7">
      <c r="A18" s="751" t="s">
        <v>794</v>
      </c>
      <c r="B18" s="277">
        <v>1556586008</v>
      </c>
      <c r="C18" s="277">
        <v>1066385652</v>
      </c>
      <c r="D18" s="277">
        <v>1122804878</v>
      </c>
      <c r="E18" s="277">
        <v>1220788292</v>
      </c>
      <c r="F18" s="520">
        <v>1142018521</v>
      </c>
      <c r="G18" s="753"/>
    </row>
    <row r="19" spans="1:7">
      <c r="A19" s="751" t="s">
        <v>795</v>
      </c>
      <c r="B19" s="277">
        <v>113853808</v>
      </c>
      <c r="C19" s="277">
        <v>125527340</v>
      </c>
      <c r="D19" s="277">
        <v>136553035</v>
      </c>
      <c r="E19" s="277">
        <v>154414967</v>
      </c>
      <c r="F19" s="277">
        <v>175805119</v>
      </c>
      <c r="G19" s="753"/>
    </row>
    <row r="20" spans="1:7">
      <c r="A20" s="751" t="s">
        <v>796</v>
      </c>
      <c r="B20" s="277">
        <v>1487050977</v>
      </c>
      <c r="C20" s="277">
        <v>1542849074</v>
      </c>
      <c r="D20" s="277">
        <v>1578113758</v>
      </c>
      <c r="E20" s="277">
        <v>1528238084</v>
      </c>
      <c r="F20" s="277">
        <v>1671730849</v>
      </c>
      <c r="G20" s="753"/>
    </row>
    <row r="21" spans="1:7">
      <c r="A21" s="751" t="s">
        <v>797</v>
      </c>
      <c r="B21" s="277">
        <v>1150882544</v>
      </c>
      <c r="C21" s="277">
        <v>1110720704</v>
      </c>
      <c r="D21" s="277">
        <v>1080516636</v>
      </c>
      <c r="E21" s="277">
        <v>1098467483</v>
      </c>
      <c r="F21" s="277">
        <v>1076660664</v>
      </c>
      <c r="G21" s="753"/>
    </row>
    <row r="22" spans="1:7">
      <c r="A22" s="751" t="s">
        <v>798</v>
      </c>
      <c r="B22" s="277">
        <v>134318380</v>
      </c>
      <c r="C22" s="277">
        <v>107488543</v>
      </c>
      <c r="D22" s="277">
        <v>128612736</v>
      </c>
      <c r="E22" s="277">
        <v>132268769</v>
      </c>
      <c r="F22" s="277">
        <v>175358145</v>
      </c>
      <c r="G22" s="753"/>
    </row>
    <row r="23" spans="1:7">
      <c r="A23" s="751" t="s">
        <v>799</v>
      </c>
      <c r="B23" s="277">
        <v>317225570</v>
      </c>
      <c r="C23" s="277">
        <v>313510223</v>
      </c>
      <c r="D23" s="277">
        <v>318631326</v>
      </c>
      <c r="E23" s="277">
        <v>326602085</v>
      </c>
      <c r="F23" s="277">
        <v>345429360</v>
      </c>
      <c r="G23" s="753"/>
    </row>
    <row r="24" spans="1:7">
      <c r="A24" s="751" t="s">
        <v>800</v>
      </c>
      <c r="B24" s="277">
        <v>119147258</v>
      </c>
      <c r="C24" s="277">
        <v>121809793</v>
      </c>
      <c r="D24" s="277">
        <v>114432109</v>
      </c>
      <c r="E24" s="277">
        <v>93635761</v>
      </c>
      <c r="F24" s="277">
        <v>75544873</v>
      </c>
      <c r="G24" s="753"/>
    </row>
    <row r="25" spans="1:7">
      <c r="A25" s="751" t="s">
        <v>801</v>
      </c>
      <c r="B25" s="277">
        <v>352818312</v>
      </c>
      <c r="C25" s="277">
        <v>346898800</v>
      </c>
      <c r="D25" s="277">
        <v>340921008</v>
      </c>
      <c r="E25" s="277">
        <v>347932775</v>
      </c>
      <c r="F25" s="277">
        <v>316098309</v>
      </c>
      <c r="G25" s="753"/>
    </row>
    <row r="26" spans="1:7">
      <c r="A26" s="751" t="s">
        <v>802</v>
      </c>
      <c r="B26" s="277">
        <v>608180662</v>
      </c>
      <c r="C26" s="277">
        <v>577465570</v>
      </c>
      <c r="D26" s="277">
        <v>615427279</v>
      </c>
      <c r="E26" s="277">
        <v>625631010</v>
      </c>
      <c r="F26" s="277">
        <v>699339072</v>
      </c>
      <c r="G26" s="753"/>
    </row>
    <row r="27" spans="1:7">
      <c r="A27" s="751" t="s">
        <v>803</v>
      </c>
      <c r="B27" s="277">
        <v>16934725968</v>
      </c>
      <c r="C27" s="277">
        <v>17601356777</v>
      </c>
      <c r="D27" s="277">
        <v>17987523834</v>
      </c>
      <c r="E27" s="277">
        <v>18613515472</v>
      </c>
      <c r="F27" s="277">
        <v>19470592932</v>
      </c>
      <c r="G27" s="753"/>
    </row>
    <row r="28" spans="1:7">
      <c r="A28" s="754" t="s">
        <v>804</v>
      </c>
      <c r="B28" s="277">
        <v>13486627199</v>
      </c>
      <c r="C28" s="277">
        <v>14015309950</v>
      </c>
      <c r="D28" s="277">
        <v>14249840628</v>
      </c>
      <c r="E28" s="277">
        <v>14760752957</v>
      </c>
      <c r="F28" s="277">
        <v>15486302505</v>
      </c>
      <c r="G28" s="753"/>
    </row>
    <row r="29" spans="1:7">
      <c r="A29" s="751" t="s">
        <v>805</v>
      </c>
      <c r="B29" s="277">
        <v>2296889468</v>
      </c>
      <c r="C29" s="277">
        <v>2375808522</v>
      </c>
      <c r="D29" s="277">
        <v>2453829305</v>
      </c>
      <c r="E29" s="277">
        <v>2556759876</v>
      </c>
      <c r="F29" s="277">
        <v>2600028077</v>
      </c>
      <c r="G29" s="753"/>
    </row>
    <row r="30" spans="1:7">
      <c r="A30" s="751" t="s">
        <v>806</v>
      </c>
      <c r="B30" s="277">
        <v>19148564</v>
      </c>
      <c r="C30" s="277">
        <v>18787903</v>
      </c>
      <c r="D30" s="277">
        <v>21157757</v>
      </c>
      <c r="E30" s="277">
        <v>21356590</v>
      </c>
      <c r="F30" s="277">
        <v>22167798</v>
      </c>
      <c r="G30" s="753"/>
    </row>
    <row r="31" spans="1:7">
      <c r="A31" s="751" t="s">
        <v>807</v>
      </c>
      <c r="B31" s="277">
        <v>507174089</v>
      </c>
      <c r="C31" s="277">
        <v>567981977</v>
      </c>
      <c r="D31" s="277">
        <v>842409724</v>
      </c>
      <c r="E31" s="277">
        <v>795927505</v>
      </c>
      <c r="F31" s="520">
        <v>996283232</v>
      </c>
      <c r="G31" s="753"/>
    </row>
    <row r="32" spans="1:7" ht="12" customHeight="1">
      <c r="B32" s="277"/>
      <c r="C32" s="277"/>
      <c r="D32" s="277"/>
    </row>
    <row r="33" spans="1:6">
      <c r="A33" s="755" t="s">
        <v>17</v>
      </c>
      <c r="B33" s="756">
        <f>SUM(B6:B11,B17:B27,B29:B31)</f>
        <v>100219956703.17999</v>
      </c>
      <c r="C33" s="756">
        <f>SUM(C6:C11,C17:C27,C29:C31)</f>
        <v>101740768840.73</v>
      </c>
      <c r="D33" s="756">
        <f>SUM(D6:D11,D17:D27,D29:D31)</f>
        <v>103741107029.05</v>
      </c>
      <c r="E33" s="756">
        <f>SUM(E6:E11,E17:E27,E29:E31)</f>
        <v>106075146507.72</v>
      </c>
      <c r="F33" s="756">
        <f>SUM(F6:F11,F17:F27,F29:F31)</f>
        <v>107779678044</v>
      </c>
    </row>
    <row r="34" spans="1:6">
      <c r="B34" s="277"/>
      <c r="C34" s="277"/>
      <c r="D34" s="277"/>
      <c r="E34" s="277"/>
      <c r="F34" s="620"/>
    </row>
    <row r="35" spans="1:6">
      <c r="A35" s="746" t="s">
        <v>1</v>
      </c>
      <c r="B35" s="751"/>
      <c r="C35" s="751"/>
    </row>
    <row r="36" spans="1:6" ht="25.15" customHeight="1">
      <c r="A36" s="1365" t="s">
        <v>971</v>
      </c>
      <c r="B36" s="1365"/>
      <c r="C36" s="1365"/>
      <c r="D36" s="1366"/>
      <c r="E36" s="1366"/>
      <c r="F36" s="1366"/>
    </row>
    <row r="37" spans="1:6">
      <c r="A37" s="1362" t="s">
        <v>808</v>
      </c>
      <c r="B37" s="1362"/>
      <c r="C37" s="1362"/>
    </row>
    <row r="38" spans="1:6" ht="37.9" customHeight="1">
      <c r="A38" s="1363" t="s">
        <v>809</v>
      </c>
      <c r="B38" s="1364"/>
      <c r="C38" s="1364"/>
      <c r="D38" s="1366"/>
      <c r="E38" s="1366"/>
      <c r="F38" s="1366"/>
    </row>
    <row r="39" spans="1:6" ht="13.15" customHeight="1">
      <c r="A39" s="1363" t="s">
        <v>1013</v>
      </c>
      <c r="B39" s="1364"/>
      <c r="C39" s="1364"/>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7:C37"/>
    <mergeCell ref="A39:C39"/>
    <mergeCell ref="A36:F36"/>
    <mergeCell ref="A38:F38"/>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8"/>
  <sheetViews>
    <sheetView zoomScaleNormal="100" workbookViewId="0"/>
  </sheetViews>
  <sheetFormatPr defaultColWidth="13.140625" defaultRowHeight="15"/>
  <cols>
    <col min="1" max="1" width="15.7109375" style="1131" customWidth="1"/>
    <col min="2" max="2" width="13.85546875" style="1130" customWidth="1"/>
    <col min="3" max="3" width="13.140625" style="1130" customWidth="1"/>
    <col min="4" max="4" width="15.140625" style="1130" customWidth="1"/>
    <col min="5" max="5" width="15.42578125" style="1131" customWidth="1"/>
    <col min="6" max="6" width="15.28515625" style="1131" customWidth="1"/>
    <col min="7" max="7" width="15.140625" style="1130" bestFit="1" customWidth="1"/>
    <col min="8" max="8" width="12.42578125" style="1130" customWidth="1"/>
    <col min="9" max="9" width="15.140625" style="1130" customWidth="1"/>
    <col min="10" max="16384" width="13.140625" style="1131"/>
  </cols>
  <sheetData>
    <row r="1" spans="1:10" ht="18.75">
      <c r="A1" s="1128" t="s">
        <v>314</v>
      </c>
      <c r="B1" s="1129"/>
      <c r="C1" s="1129"/>
      <c r="G1" s="1132"/>
      <c r="H1" s="1132"/>
      <c r="I1" s="1132"/>
    </row>
    <row r="2" spans="1:10">
      <c r="A2" s="1133" t="s">
        <v>1157</v>
      </c>
      <c r="B2" s="1129"/>
      <c r="C2" s="1129"/>
      <c r="G2" s="1132"/>
      <c r="H2" s="1132"/>
      <c r="I2" s="1132"/>
    </row>
    <row r="3" spans="1:10" ht="10.9" customHeight="1" thickBot="1">
      <c r="A3" s="1134"/>
      <c r="B3" s="1129"/>
      <c r="C3" s="1129"/>
      <c r="G3" s="1132"/>
      <c r="H3" s="1132"/>
      <c r="I3" s="1132"/>
    </row>
    <row r="4" spans="1:10">
      <c r="A4" s="1135"/>
      <c r="B4" s="1136" t="s">
        <v>76</v>
      </c>
      <c r="C4" s="1137" t="s">
        <v>59</v>
      </c>
      <c r="D4" s="1137" t="s">
        <v>17</v>
      </c>
      <c r="E4" s="1138"/>
      <c r="F4" s="1139"/>
      <c r="G4" s="1137" t="s">
        <v>76</v>
      </c>
      <c r="H4" s="1137" t="s">
        <v>59</v>
      </c>
      <c r="I4" s="1137" t="s">
        <v>17</v>
      </c>
    </row>
    <row r="5" spans="1:10">
      <c r="A5" s="1140" t="s">
        <v>23</v>
      </c>
      <c r="B5" s="1141" t="s">
        <v>77</v>
      </c>
      <c r="C5" s="1142" t="s">
        <v>68</v>
      </c>
      <c r="D5" s="1142" t="s">
        <v>20</v>
      </c>
      <c r="E5" s="1138"/>
      <c r="F5" s="1143" t="s">
        <v>23</v>
      </c>
      <c r="G5" s="1142" t="s">
        <v>77</v>
      </c>
      <c r="H5" s="1142" t="s">
        <v>68</v>
      </c>
      <c r="I5" s="1142" t="s">
        <v>20</v>
      </c>
    </row>
    <row r="6" spans="1:10" ht="16.5">
      <c r="A6" s="1144" t="s">
        <v>78</v>
      </c>
      <c r="B6" s="1145">
        <v>4936638.8199999994</v>
      </c>
      <c r="C6" s="1146">
        <v>4707078.3099999996</v>
      </c>
      <c r="D6" s="1144">
        <f>SUM(B6:C6)</f>
        <v>9643717.129999999</v>
      </c>
      <c r="E6" s="1147"/>
      <c r="F6" s="1148" t="s">
        <v>79</v>
      </c>
      <c r="G6" s="1146">
        <v>5645317.2999999989</v>
      </c>
      <c r="H6" s="1146">
        <v>5285597.18</v>
      </c>
      <c r="I6" s="1144">
        <f>SUM(G6:H6)</f>
        <v>10930914.479999999</v>
      </c>
      <c r="J6" s="1149"/>
    </row>
    <row r="7" spans="1:10" ht="16.5">
      <c r="A7" s="1144" t="s">
        <v>80</v>
      </c>
      <c r="B7" s="1150">
        <v>16162691.599999998</v>
      </c>
      <c r="C7" s="1150">
        <v>18514421.449999999</v>
      </c>
      <c r="D7" s="1151">
        <f>SUM(B7:C7)</f>
        <v>34677113.049999997</v>
      </c>
      <c r="E7" s="1147"/>
      <c r="F7" s="1148" t="s">
        <v>81</v>
      </c>
      <c r="G7" s="1150">
        <v>3257510</v>
      </c>
      <c r="H7" s="1150">
        <v>3804900.6</v>
      </c>
      <c r="I7" s="1151">
        <f>SUM(G7:H7)</f>
        <v>7062410.5999999996</v>
      </c>
      <c r="J7" s="1149"/>
    </row>
    <row r="8" spans="1:10" ht="16.5">
      <c r="A8" s="1144" t="s">
        <v>82</v>
      </c>
      <c r="B8" s="1150">
        <v>2332697.48</v>
      </c>
      <c r="C8" s="1150">
        <v>1109501.29</v>
      </c>
      <c r="D8" s="1151">
        <f>SUM(B8:C8)</f>
        <v>3442198.77</v>
      </c>
      <c r="E8" s="1147"/>
      <c r="F8" s="1148" t="s">
        <v>83</v>
      </c>
      <c r="G8" s="1150">
        <v>2040787.4000000001</v>
      </c>
      <c r="H8" s="1150">
        <v>555867.5</v>
      </c>
      <c r="I8" s="1151">
        <f>SUM(G8:H8)</f>
        <v>2596654.9000000004</v>
      </c>
      <c r="J8" s="1149"/>
    </row>
    <row r="9" spans="1:10" ht="16.5">
      <c r="A9" s="1144" t="s">
        <v>84</v>
      </c>
      <c r="B9" s="1150">
        <v>1981372.0000000005</v>
      </c>
      <c r="C9" s="1150">
        <v>930860.58</v>
      </c>
      <c r="D9" s="1151">
        <f>SUM(B9:C9)</f>
        <v>2912232.5800000005</v>
      </c>
      <c r="E9" s="1147"/>
      <c r="F9" s="1148" t="s">
        <v>85</v>
      </c>
      <c r="G9" s="1150">
        <v>3639834.6999999997</v>
      </c>
      <c r="H9" s="1150">
        <v>2399041.58</v>
      </c>
      <c r="I9" s="1151">
        <f>SUM(G9:H9)</f>
        <v>6038876.2799999993</v>
      </c>
      <c r="J9" s="1149"/>
    </row>
    <row r="10" spans="1:10" ht="16.5">
      <c r="A10" s="1144" t="s">
        <v>86</v>
      </c>
      <c r="B10" s="1150">
        <v>4736865.5399999991</v>
      </c>
      <c r="C10" s="1150">
        <v>3187094.72</v>
      </c>
      <c r="D10" s="1151">
        <f>SUM(B10:C10)</f>
        <v>7923960.2599999998</v>
      </c>
      <c r="E10" s="1147"/>
      <c r="F10" s="1148" t="s">
        <v>87</v>
      </c>
      <c r="G10" s="1150">
        <v>1397551.8399999999</v>
      </c>
      <c r="H10" s="1150">
        <v>756319.2</v>
      </c>
      <c r="I10" s="1151">
        <f>SUM(G10:H10)</f>
        <v>2153871.04</v>
      </c>
      <c r="J10" s="1149"/>
    </row>
    <row r="11" spans="1:10" ht="11.1" customHeight="1">
      <c r="A11" s="1144"/>
      <c r="B11" s="1150"/>
      <c r="C11" s="1150"/>
      <c r="D11" s="1151"/>
      <c r="E11" s="1148"/>
      <c r="F11" s="1148"/>
      <c r="G11" s="1150"/>
      <c r="H11" s="1150"/>
      <c r="I11" s="1151"/>
    </row>
    <row r="12" spans="1:10" ht="15" customHeight="1">
      <c r="A12" s="1144" t="s">
        <v>88</v>
      </c>
      <c r="B12" s="1150">
        <v>2492860.5400000005</v>
      </c>
      <c r="C12" s="1150">
        <v>1501694.55</v>
      </c>
      <c r="D12" s="1151">
        <f>SUM(B12:C12)</f>
        <v>3994555.0900000008</v>
      </c>
      <c r="E12" s="1147"/>
      <c r="F12" s="1148" t="s">
        <v>89</v>
      </c>
      <c r="G12" s="1150">
        <v>5436072.04</v>
      </c>
      <c r="H12" s="1150">
        <v>4008900.42</v>
      </c>
      <c r="I12" s="1151">
        <f>SUM(G12:H12)</f>
        <v>9444972.4600000009</v>
      </c>
      <c r="J12" s="1149"/>
    </row>
    <row r="13" spans="1:10" ht="16.5">
      <c r="A13" s="1144" t="s">
        <v>90</v>
      </c>
      <c r="B13" s="1150">
        <v>27814123.700000003</v>
      </c>
      <c r="C13" s="1150">
        <v>45015274.299999997</v>
      </c>
      <c r="D13" s="1151">
        <f>SUM(B13:C13)</f>
        <v>72829398</v>
      </c>
      <c r="E13" s="1147"/>
      <c r="F13" s="1148" t="s">
        <v>91</v>
      </c>
      <c r="G13" s="1150">
        <v>18529832.739999998</v>
      </c>
      <c r="H13" s="1150">
        <v>25341095.07</v>
      </c>
      <c r="I13" s="1151">
        <f>SUM(G13:H13)</f>
        <v>43870927.810000002</v>
      </c>
      <c r="J13" s="1149"/>
    </row>
    <row r="14" spans="1:10" ht="16.5">
      <c r="A14" s="1144" t="s">
        <v>92</v>
      </c>
      <c r="B14" s="1150">
        <v>10998724.540000003</v>
      </c>
      <c r="C14" s="1150">
        <v>6684861.0199999996</v>
      </c>
      <c r="D14" s="1151">
        <f>SUM(B14:C14)</f>
        <v>17683585.560000002</v>
      </c>
      <c r="E14" s="1147"/>
      <c r="F14" s="1148" t="s">
        <v>93</v>
      </c>
      <c r="G14" s="1150">
        <v>54721517.79999999</v>
      </c>
      <c r="H14" s="1150">
        <v>70641011.040000007</v>
      </c>
      <c r="I14" s="1151">
        <f>SUM(G14:H14)</f>
        <v>125362528.84</v>
      </c>
      <c r="J14" s="1149"/>
    </row>
    <row r="15" spans="1:10" ht="16.5">
      <c r="A15" s="1144" t="s">
        <v>94</v>
      </c>
      <c r="B15" s="1150">
        <v>534737.96</v>
      </c>
      <c r="C15" s="1150">
        <v>801691.51</v>
      </c>
      <c r="D15" s="1151">
        <f>SUM(B15:C15)</f>
        <v>1336429.47</v>
      </c>
      <c r="E15" s="1147"/>
      <c r="F15" s="1148" t="s">
        <v>95</v>
      </c>
      <c r="G15" s="1150">
        <v>7760158.580000001</v>
      </c>
      <c r="H15" s="1150">
        <v>5418420.5199999996</v>
      </c>
      <c r="I15" s="1151">
        <f>SUM(G15:H15)</f>
        <v>13178579.100000001</v>
      </c>
      <c r="J15" s="1149"/>
    </row>
    <row r="16" spans="1:10" ht="16.5">
      <c r="A16" s="1145" t="s">
        <v>458</v>
      </c>
      <c r="B16" s="1150">
        <v>12162059.440000001</v>
      </c>
      <c r="C16" s="1150">
        <v>7276745.6299999999</v>
      </c>
      <c r="D16" s="1151">
        <f>SUM(B16:C16)</f>
        <v>19438805.07</v>
      </c>
      <c r="E16" s="1147"/>
      <c r="F16" s="1148" t="s">
        <v>96</v>
      </c>
      <c r="G16" s="1150">
        <v>222161.68000000005</v>
      </c>
      <c r="H16" s="1150">
        <v>143062.51999999999</v>
      </c>
      <c r="I16" s="1151">
        <f>SUM(G16:H16)</f>
        <v>365224.20000000007</v>
      </c>
      <c r="J16" s="1149"/>
    </row>
    <row r="17" spans="1:10" ht="11.1" customHeight="1">
      <c r="A17" s="1144"/>
      <c r="B17" s="1150"/>
      <c r="C17" s="1150"/>
      <c r="D17" s="1151"/>
      <c r="E17" s="1148"/>
      <c r="F17" s="1148"/>
      <c r="G17" s="1150"/>
      <c r="H17" s="1150"/>
      <c r="I17" s="1151"/>
    </row>
    <row r="18" spans="1:10" ht="16.5">
      <c r="A18" s="1144" t="s">
        <v>97</v>
      </c>
      <c r="B18" s="1150">
        <v>798232.03999999992</v>
      </c>
      <c r="C18" s="1150">
        <v>463192.66</v>
      </c>
      <c r="D18" s="1151">
        <f>SUM(B18:C18)</f>
        <v>1261424.7</v>
      </c>
      <c r="E18" s="1147"/>
      <c r="F18" s="1148" t="s">
        <v>98</v>
      </c>
      <c r="G18" s="1150">
        <v>5938949.5999999987</v>
      </c>
      <c r="H18" s="1150">
        <v>3345539.31</v>
      </c>
      <c r="I18" s="1151">
        <f>SUM(G18:H18)</f>
        <v>9284488.9099999983</v>
      </c>
      <c r="J18" s="1149"/>
    </row>
    <row r="19" spans="1:10" ht="16.5">
      <c r="A19" s="1144" t="s">
        <v>99</v>
      </c>
      <c r="B19" s="1150">
        <v>5096801.8800000008</v>
      </c>
      <c r="C19" s="1150">
        <v>3380248.7</v>
      </c>
      <c r="D19" s="1151">
        <f>SUM(B19:C19)</f>
        <v>8477050.5800000019</v>
      </c>
      <c r="E19" s="1147"/>
      <c r="F19" s="1148" t="s">
        <v>100</v>
      </c>
      <c r="G19" s="1150">
        <v>11668653.919999996</v>
      </c>
      <c r="H19" s="1150">
        <v>10770025.6</v>
      </c>
      <c r="I19" s="1151">
        <f>SUM(G19:H19)</f>
        <v>22438679.519999996</v>
      </c>
      <c r="J19" s="1149"/>
    </row>
    <row r="20" spans="1:10" ht="16.5">
      <c r="A20" s="1144" t="s">
        <v>101</v>
      </c>
      <c r="B20" s="1150">
        <v>2151868.1999999997</v>
      </c>
      <c r="C20" s="1152">
        <v>799958.54</v>
      </c>
      <c r="D20" s="1151">
        <f>SUM(B20:C20)</f>
        <v>2951826.7399999998</v>
      </c>
      <c r="E20" s="1147"/>
      <c r="F20" s="1148" t="s">
        <v>102</v>
      </c>
      <c r="G20" s="1150">
        <v>952367.48</v>
      </c>
      <c r="H20" s="1150">
        <v>238173.56</v>
      </c>
      <c r="I20" s="1151">
        <f>SUM(G20:H20)</f>
        <v>1190541.04</v>
      </c>
      <c r="J20" s="1149"/>
    </row>
    <row r="21" spans="1:10" ht="16.5">
      <c r="A21" s="1144" t="s">
        <v>103</v>
      </c>
      <c r="B21" s="1150">
        <v>3011237.7600000002</v>
      </c>
      <c r="C21" s="1150">
        <v>1715008.23</v>
      </c>
      <c r="D21" s="1151">
        <f>SUM(B21:C21)</f>
        <v>4726245.99</v>
      </c>
      <c r="E21" s="1147"/>
      <c r="F21" s="1148" t="s">
        <v>104</v>
      </c>
      <c r="G21" s="1150">
        <v>4809197.24</v>
      </c>
      <c r="H21" s="1150">
        <v>3036346.19</v>
      </c>
      <c r="I21" s="1151">
        <f>SUM(G21:H21)</f>
        <v>7845543.4299999997</v>
      </c>
      <c r="J21" s="1149"/>
    </row>
    <row r="22" spans="1:10" ht="16.5">
      <c r="A22" s="1144" t="s">
        <v>105</v>
      </c>
      <c r="B22" s="1150">
        <v>2306864.7199999997</v>
      </c>
      <c r="C22" s="1150">
        <v>842092.04</v>
      </c>
      <c r="D22" s="1151">
        <f>SUM(B22:C22)</f>
        <v>3148956.76</v>
      </c>
      <c r="E22" s="1147"/>
      <c r="F22" s="1148" t="s">
        <v>106</v>
      </c>
      <c r="G22" s="1150">
        <v>2799409.18</v>
      </c>
      <c r="H22" s="1150">
        <v>1518011.05</v>
      </c>
      <c r="I22" s="1151">
        <f>SUM(G22:H22)</f>
        <v>4317420.2300000004</v>
      </c>
      <c r="J22" s="1149"/>
    </row>
    <row r="23" spans="1:10" ht="11.1" customHeight="1">
      <c r="A23" s="1144"/>
      <c r="B23" s="1150"/>
      <c r="C23" s="1150"/>
      <c r="D23" s="1151"/>
      <c r="E23" s="1148"/>
      <c r="F23" s="1148"/>
      <c r="G23" s="1150"/>
      <c r="H23" s="1150"/>
      <c r="I23" s="1151"/>
    </row>
    <row r="24" spans="1:10" ht="16.5">
      <c r="A24" s="1144" t="s">
        <v>107</v>
      </c>
      <c r="B24" s="1150">
        <v>8381866.8599999994</v>
      </c>
      <c r="C24" s="1150">
        <v>5625548.1600000001</v>
      </c>
      <c r="D24" s="1151">
        <f>SUM(B24:C24)</f>
        <v>14007415.02</v>
      </c>
      <c r="E24" s="1147"/>
      <c r="F24" s="1148" t="s">
        <v>108</v>
      </c>
      <c r="G24" s="1150">
        <v>1228777.8999999994</v>
      </c>
      <c r="H24" s="1150">
        <v>1999311.53</v>
      </c>
      <c r="I24" s="1151">
        <f>SUM(G24:H24)</f>
        <v>3228089.4299999997</v>
      </c>
      <c r="J24" s="1149"/>
    </row>
    <row r="25" spans="1:10" ht="16.5">
      <c r="A25" s="1144" t="s">
        <v>109</v>
      </c>
      <c r="B25" s="1150">
        <v>4911667.1800000016</v>
      </c>
      <c r="C25" s="1150">
        <v>2789332.88</v>
      </c>
      <c r="D25" s="1151">
        <f>SUM(B25:C25)</f>
        <v>7701000.0600000015</v>
      </c>
      <c r="E25" s="1147"/>
      <c r="F25" s="1148" t="s">
        <v>110</v>
      </c>
      <c r="G25" s="1150">
        <v>3512393.1599999997</v>
      </c>
      <c r="H25" s="1150">
        <v>1553699.62</v>
      </c>
      <c r="I25" s="1151">
        <f>SUM(G25:H25)</f>
        <v>5066092.7799999993</v>
      </c>
      <c r="J25" s="1149"/>
    </row>
    <row r="26" spans="1:10" ht="16.5">
      <c r="A26" s="1144" t="s">
        <v>111</v>
      </c>
      <c r="B26" s="1150">
        <v>4199544.33</v>
      </c>
      <c r="C26" s="1150">
        <v>2238278.12</v>
      </c>
      <c r="D26" s="1151">
        <f>SUM(B26:C26)</f>
        <v>6437822.4500000002</v>
      </c>
      <c r="E26" s="1147"/>
      <c r="F26" s="1148" t="s">
        <v>112</v>
      </c>
      <c r="G26" s="1150">
        <v>82845634.50999999</v>
      </c>
      <c r="H26" s="1150">
        <v>88364450.319999993</v>
      </c>
      <c r="I26" s="1218">
        <f>SUM(G26:H26)</f>
        <v>171210084.82999998</v>
      </c>
      <c r="J26" s="1149"/>
    </row>
    <row r="27" spans="1:10" ht="16.5">
      <c r="A27" s="1144" t="s">
        <v>113</v>
      </c>
      <c r="B27" s="1150">
        <v>853341.84000000008</v>
      </c>
      <c r="C27" s="1152">
        <v>915027.47</v>
      </c>
      <c r="D27" s="1151">
        <f>SUM(B27:C27)</f>
        <v>1768369.31</v>
      </c>
      <c r="E27" s="1147"/>
      <c r="F27" s="1148" t="s">
        <v>114</v>
      </c>
      <c r="G27" s="1150">
        <v>5213049.28</v>
      </c>
      <c r="H27" s="1150">
        <v>4475232.01</v>
      </c>
      <c r="I27" s="1151">
        <f>SUM(G27:H27)</f>
        <v>9688281.2899999991</v>
      </c>
      <c r="J27" s="1149"/>
    </row>
    <row r="28" spans="1:10" ht="16.5">
      <c r="A28" s="1144" t="s">
        <v>115</v>
      </c>
      <c r="B28" s="1150">
        <v>1954678.24</v>
      </c>
      <c r="C28" s="1150">
        <v>784981.64</v>
      </c>
      <c r="D28" s="1151">
        <f>SUM(B28:C28)</f>
        <v>2739659.88</v>
      </c>
      <c r="E28" s="1147"/>
      <c r="F28" s="1148" t="s">
        <v>116</v>
      </c>
      <c r="G28" s="1150">
        <v>1704100.54</v>
      </c>
      <c r="H28" s="1150">
        <v>561708.92000000004</v>
      </c>
      <c r="I28" s="1151">
        <f>SUM(G28:H28)</f>
        <v>2265809.46</v>
      </c>
      <c r="J28" s="1149"/>
    </row>
    <row r="29" spans="1:10" ht="11.1" customHeight="1">
      <c r="A29" s="1144"/>
      <c r="B29" s="1150"/>
      <c r="C29" s="1150"/>
      <c r="D29" s="1151"/>
      <c r="E29" s="1148"/>
      <c r="F29" s="1148"/>
      <c r="G29" s="1150"/>
      <c r="H29" s="1150"/>
      <c r="I29" s="1151"/>
    </row>
    <row r="30" spans="1:10" ht="16.5">
      <c r="A30" s="1144" t="s">
        <v>117</v>
      </c>
      <c r="B30" s="1150">
        <v>61577530.100000001</v>
      </c>
      <c r="C30" s="1150">
        <v>54933695.020000003</v>
      </c>
      <c r="D30" s="1151">
        <f>SUM(B30:C30)</f>
        <v>116511225.12</v>
      </c>
      <c r="E30" s="1147"/>
      <c r="F30" s="1148" t="s">
        <v>118</v>
      </c>
      <c r="G30" s="1150">
        <v>2004621.5200000003</v>
      </c>
      <c r="H30" s="1150">
        <v>1188823.56</v>
      </c>
      <c r="I30" s="1151">
        <f>SUM(G30:H30)</f>
        <v>3193445.08</v>
      </c>
      <c r="J30" s="1149"/>
    </row>
    <row r="31" spans="1:10" ht="16.5">
      <c r="A31" s="1144" t="s">
        <v>119</v>
      </c>
      <c r="B31" s="1150">
        <v>2282754.16</v>
      </c>
      <c r="C31" s="1150">
        <v>1530228.29</v>
      </c>
      <c r="D31" s="1151">
        <f>SUM(B31:C31)</f>
        <v>3812982.45</v>
      </c>
      <c r="E31" s="1147"/>
      <c r="F31" s="1148" t="s">
        <v>120</v>
      </c>
      <c r="G31" s="1150">
        <v>1110808.3400000003</v>
      </c>
      <c r="H31" s="1150">
        <v>603848.80000000005</v>
      </c>
      <c r="I31" s="1151">
        <f>SUM(G31:H31)</f>
        <v>1714657.1400000004</v>
      </c>
      <c r="J31" s="1149"/>
    </row>
    <row r="32" spans="1:10" ht="16.5">
      <c r="A32" s="1144" t="s">
        <v>121</v>
      </c>
      <c r="B32" s="1150">
        <v>730205.76000000013</v>
      </c>
      <c r="C32" s="1150">
        <v>211340.74</v>
      </c>
      <c r="D32" s="1151">
        <f>SUM(B32:C32)</f>
        <v>941546.50000000012</v>
      </c>
      <c r="E32" s="1147"/>
      <c r="F32" s="1148" t="s">
        <v>122</v>
      </c>
      <c r="G32" s="1150">
        <v>4463038.38</v>
      </c>
      <c r="H32" s="1152">
        <v>6110727.0700000003</v>
      </c>
      <c r="I32" s="1151">
        <f>SUM(G32:H32)</f>
        <v>10573765.449999999</v>
      </c>
      <c r="J32" s="1149"/>
    </row>
    <row r="33" spans="1:10" ht="16.5">
      <c r="A33" s="1144" t="s">
        <v>123</v>
      </c>
      <c r="B33" s="1150">
        <v>9131877.7299999986</v>
      </c>
      <c r="C33" s="1150">
        <v>8568302.6999999993</v>
      </c>
      <c r="D33" s="1151">
        <f>SUM(B33:C33)</f>
        <v>17700180.43</v>
      </c>
      <c r="E33" s="1147"/>
      <c r="F33" s="1148" t="s">
        <v>124</v>
      </c>
      <c r="G33" s="1150">
        <v>1267526.9999999998</v>
      </c>
      <c r="H33" s="1150">
        <v>1268733.8799999999</v>
      </c>
      <c r="I33" s="1151">
        <f>SUM(G33:H33)</f>
        <v>2536260.88</v>
      </c>
      <c r="J33" s="1149"/>
    </row>
    <row r="34" spans="1:10" ht="16.5">
      <c r="A34" s="1144" t="s">
        <v>125</v>
      </c>
      <c r="B34" s="1150">
        <v>1480216.6800000002</v>
      </c>
      <c r="C34" s="1150">
        <v>607832.42000000004</v>
      </c>
      <c r="D34" s="1151">
        <f>SUM(B34:C34)</f>
        <v>2088049.1</v>
      </c>
      <c r="E34" s="1147"/>
      <c r="F34" s="1148" t="s">
        <v>126</v>
      </c>
      <c r="G34" s="1150">
        <v>11149415.600000003</v>
      </c>
      <c r="H34" s="1150">
        <v>13712753.380000001</v>
      </c>
      <c r="I34" s="1151">
        <f>SUM(G34:H34)</f>
        <v>24862168.980000004</v>
      </c>
      <c r="J34" s="1149"/>
    </row>
    <row r="35" spans="1:10" ht="11.1" customHeight="1">
      <c r="A35" s="1144"/>
      <c r="B35" s="1150"/>
      <c r="C35" s="1150"/>
      <c r="D35" s="1151"/>
      <c r="E35" s="1148"/>
      <c r="F35" s="1148"/>
      <c r="G35" s="1150"/>
      <c r="H35" s="1150"/>
      <c r="I35" s="1151"/>
    </row>
    <row r="36" spans="1:10" ht="16.5">
      <c r="A36" s="1144" t="s">
        <v>127</v>
      </c>
      <c r="B36" s="1150">
        <v>2208700.3000000003</v>
      </c>
      <c r="C36" s="1150">
        <v>820569.47</v>
      </c>
      <c r="D36" s="1151">
        <f>SUM(B36:C36)</f>
        <v>3029269.7700000005</v>
      </c>
      <c r="E36" s="1147"/>
      <c r="F36" s="1148" t="s">
        <v>128</v>
      </c>
      <c r="G36" s="1150">
        <v>2127757.62</v>
      </c>
      <c r="H36" s="1150">
        <v>1419379.91</v>
      </c>
      <c r="I36" s="1151">
        <f>SUM(G36:H36)</f>
        <v>3547137.5300000003</v>
      </c>
      <c r="J36" s="1149"/>
    </row>
    <row r="37" spans="1:10" ht="16.5">
      <c r="A37" s="1144" t="s">
        <v>129</v>
      </c>
      <c r="B37" s="1150">
        <v>4386401.2399999984</v>
      </c>
      <c r="C37" s="1150">
        <v>2162230.0099999998</v>
      </c>
      <c r="D37" s="1151">
        <f>SUM(B37:C37)</f>
        <v>6548631.2499999981</v>
      </c>
      <c r="E37" s="1147"/>
      <c r="F37" s="1148" t="s">
        <v>130</v>
      </c>
      <c r="G37" s="1150">
        <v>3364285.3400000003</v>
      </c>
      <c r="H37" s="1150">
        <v>2120301.79</v>
      </c>
      <c r="I37" s="1151">
        <f>SUM(G37:H37)</f>
        <v>5484587.1300000008</v>
      </c>
      <c r="J37" s="1149"/>
    </row>
    <row r="38" spans="1:10" ht="16.5">
      <c r="A38" s="1144" t="s">
        <v>131</v>
      </c>
      <c r="B38" s="1150">
        <v>1528437.8000000003</v>
      </c>
      <c r="C38" s="1150">
        <v>2171968.4</v>
      </c>
      <c r="D38" s="1151">
        <f>SUM(B38:C38)</f>
        <v>3700406.2</v>
      </c>
      <c r="E38" s="1147"/>
      <c r="F38" s="1148" t="s">
        <v>132</v>
      </c>
      <c r="G38" s="1150">
        <v>1755766.0200000003</v>
      </c>
      <c r="H38" s="1150">
        <v>1664781.32</v>
      </c>
      <c r="I38" s="1151">
        <f>SUM(G38:H38)</f>
        <v>3420547.3400000003</v>
      </c>
      <c r="J38" s="1149"/>
    </row>
    <row r="39" spans="1:10" ht="16.5">
      <c r="A39" s="1144" t="s">
        <v>133</v>
      </c>
      <c r="B39" s="1150">
        <v>196623405.84000003</v>
      </c>
      <c r="C39" s="1150">
        <v>197690443.22999999</v>
      </c>
      <c r="D39" s="1151">
        <f>SUM(B39:C39)</f>
        <v>394313849.07000005</v>
      </c>
      <c r="E39" s="1147"/>
      <c r="F39" s="1148" t="s">
        <v>134</v>
      </c>
      <c r="G39" s="1150">
        <v>1388940.96</v>
      </c>
      <c r="H39" s="1150">
        <v>860435.36</v>
      </c>
      <c r="I39" s="1151">
        <f>SUM(G39:H39)</f>
        <v>2249376.3199999998</v>
      </c>
      <c r="J39" s="1149"/>
    </row>
    <row r="40" spans="1:10" ht="16.5">
      <c r="A40" s="1144" t="s">
        <v>135</v>
      </c>
      <c r="B40" s="1150">
        <v>12372165.880000003</v>
      </c>
      <c r="C40" s="1150">
        <v>11124919.15</v>
      </c>
      <c r="D40" s="1151">
        <f>SUM(B40:C40)</f>
        <v>23497085.030000001</v>
      </c>
      <c r="E40" s="1147"/>
      <c r="F40" s="1148" t="s">
        <v>136</v>
      </c>
      <c r="G40" s="1150">
        <v>2279309.7800000007</v>
      </c>
      <c r="H40" s="1150">
        <v>1687101.48</v>
      </c>
      <c r="I40" s="1151">
        <f>SUM(G40:H40)</f>
        <v>3966411.2600000007</v>
      </c>
      <c r="J40" s="1149"/>
    </row>
    <row r="41" spans="1:10" ht="11.1" customHeight="1">
      <c r="A41" s="1144"/>
      <c r="B41" s="1150"/>
      <c r="C41" s="1150"/>
      <c r="D41" s="1151"/>
      <c r="E41" s="1148"/>
      <c r="F41" s="1148"/>
      <c r="G41" s="1150"/>
      <c r="H41" s="1150"/>
      <c r="I41" s="1151"/>
    </row>
    <row r="42" spans="1:10" ht="16.5">
      <c r="A42" s="1144" t="s">
        <v>137</v>
      </c>
      <c r="B42" s="1150">
        <v>2390390.6199999996</v>
      </c>
      <c r="C42" s="1150">
        <v>1099634.1200000001</v>
      </c>
      <c r="D42" s="1151">
        <f>SUM(B42:C42)</f>
        <v>3490024.7399999998</v>
      </c>
      <c r="E42" s="1147"/>
      <c r="F42" s="1148" t="s">
        <v>138</v>
      </c>
      <c r="G42" s="1150">
        <v>5431766.5600000005</v>
      </c>
      <c r="H42" s="1150">
        <v>4052541.47</v>
      </c>
      <c r="I42" s="1151">
        <f>SUM(G42:H42)</f>
        <v>9484308.0300000012</v>
      </c>
      <c r="J42" s="1149"/>
    </row>
    <row r="43" spans="1:10" ht="16.5">
      <c r="A43" s="1144" t="s">
        <v>139</v>
      </c>
      <c r="B43" s="1150">
        <v>4116018.419999999</v>
      </c>
      <c r="C43" s="1150">
        <v>2161822.63</v>
      </c>
      <c r="D43" s="1151">
        <f>SUM(B43:C43)</f>
        <v>6277841.0499999989</v>
      </c>
      <c r="E43" s="1147"/>
      <c r="F43" s="1148" t="s">
        <v>140</v>
      </c>
      <c r="G43" s="1150">
        <v>3538225.92</v>
      </c>
      <c r="H43" s="1150">
        <v>2257597.48</v>
      </c>
      <c r="I43" s="1151">
        <f>SUM(G43:H43)</f>
        <v>5795823.4000000004</v>
      </c>
      <c r="J43" s="1149"/>
    </row>
    <row r="44" spans="1:10" ht="16.5">
      <c r="A44" s="1144" t="s">
        <v>26</v>
      </c>
      <c r="B44" s="1150">
        <v>8243231.0399999991</v>
      </c>
      <c r="C44" s="1150">
        <v>5681381.5999999996</v>
      </c>
      <c r="D44" s="1151">
        <f>SUM(B44:C44)</f>
        <v>13924612.639999999</v>
      </c>
      <c r="E44" s="1147"/>
      <c r="F44" s="1148" t="s">
        <v>141</v>
      </c>
      <c r="G44" s="1150">
        <v>2518693.2599999993</v>
      </c>
      <c r="H44" s="1150">
        <v>1348570.46</v>
      </c>
      <c r="I44" s="1151">
        <f>SUM(G44:H44)</f>
        <v>3867263.7199999993</v>
      </c>
      <c r="J44" s="1149"/>
    </row>
    <row r="45" spans="1:10" ht="16.5">
      <c r="A45" s="1144" t="s">
        <v>142</v>
      </c>
      <c r="B45" s="1150">
        <v>14691085.860000001</v>
      </c>
      <c r="C45" s="1150">
        <v>16127993.49</v>
      </c>
      <c r="D45" s="1151">
        <f>SUM(B45:C45)</f>
        <v>30819079.350000001</v>
      </c>
      <c r="E45" s="1147"/>
      <c r="F45" s="1148" t="s">
        <v>143</v>
      </c>
      <c r="G45" s="1150">
        <v>9485786.4400000013</v>
      </c>
      <c r="H45" s="1150">
        <v>3053279.95</v>
      </c>
      <c r="I45" s="1151">
        <f>SUM(G45:H45)</f>
        <v>12539066.390000001</v>
      </c>
      <c r="J45" s="1149"/>
    </row>
    <row r="46" spans="1:10" ht="16.5">
      <c r="A46" s="1153" t="s">
        <v>144</v>
      </c>
      <c r="B46" s="1154">
        <v>2670245.4200000013</v>
      </c>
      <c r="C46" s="1154">
        <v>1894867.23</v>
      </c>
      <c r="D46" s="1155">
        <f>SUM(B46:C46)</f>
        <v>4565112.6500000013</v>
      </c>
      <c r="E46" s="1147"/>
      <c r="F46" s="1156" t="s">
        <v>145</v>
      </c>
      <c r="G46" s="1154">
        <v>4297708.78</v>
      </c>
      <c r="H46" s="1154">
        <v>3702158.71</v>
      </c>
      <c r="I46" s="1155">
        <f>SUM(G46:H46)</f>
        <v>7999867.4900000002</v>
      </c>
      <c r="J46" s="1149"/>
    </row>
    <row r="47" spans="1:10" ht="18.75">
      <c r="A47" s="1128" t="s">
        <v>72</v>
      </c>
      <c r="B47" s="1157"/>
      <c r="C47" s="1158"/>
      <c r="D47" s="1158"/>
      <c r="E47" s="1159"/>
      <c r="F47" s="1159"/>
      <c r="G47" s="1158"/>
      <c r="H47" s="1158"/>
      <c r="I47" s="1158"/>
    </row>
    <row r="48" spans="1:10">
      <c r="A48" s="1133" t="str">
        <f>A2</f>
        <v>Local Sales Tax Distribution - Fiscal Year 2020</v>
      </c>
      <c r="B48" s="1157"/>
      <c r="C48" s="1160"/>
      <c r="D48" s="1160"/>
      <c r="E48" s="1161"/>
      <c r="F48" s="1161"/>
      <c r="G48" s="1160"/>
      <c r="H48" s="1160"/>
      <c r="I48" s="1160"/>
    </row>
    <row r="49" spans="1:10" ht="15.75" thickBot="1">
      <c r="A49" s="1133"/>
      <c r="B49" s="1160"/>
      <c r="C49" s="1160"/>
      <c r="D49" s="1160"/>
      <c r="E49" s="1161"/>
      <c r="F49" s="1161"/>
      <c r="G49" s="1160"/>
      <c r="H49" s="1160"/>
      <c r="I49" s="1160"/>
    </row>
    <row r="50" spans="1:10">
      <c r="A50" s="1162"/>
      <c r="B50" s="1137" t="s">
        <v>76</v>
      </c>
      <c r="C50" s="1137" t="s">
        <v>59</v>
      </c>
      <c r="D50" s="1137" t="s">
        <v>17</v>
      </c>
      <c r="E50" s="1148"/>
      <c r="F50" s="1163"/>
      <c r="G50" s="1137" t="s">
        <v>76</v>
      </c>
      <c r="H50" s="1137" t="s">
        <v>59</v>
      </c>
      <c r="I50" s="1137" t="s">
        <v>17</v>
      </c>
    </row>
    <row r="51" spans="1:10">
      <c r="A51" s="1140" t="s">
        <v>23</v>
      </c>
      <c r="B51" s="1142" t="s">
        <v>77</v>
      </c>
      <c r="C51" s="1142" t="s">
        <v>68</v>
      </c>
      <c r="D51" s="1142" t="s">
        <v>20</v>
      </c>
      <c r="E51" s="1148"/>
      <c r="F51" s="1140" t="s">
        <v>25</v>
      </c>
      <c r="G51" s="1142" t="s">
        <v>77</v>
      </c>
      <c r="H51" s="1142" t="s">
        <v>68</v>
      </c>
      <c r="I51" s="1142" t="s">
        <v>20</v>
      </c>
    </row>
    <row r="52" spans="1:10" ht="16.5">
      <c r="A52" s="1144" t="s">
        <v>146</v>
      </c>
      <c r="B52" s="1164">
        <v>2735688.3999999994</v>
      </c>
      <c r="C52" s="1164">
        <v>3407194.95</v>
      </c>
      <c r="D52" s="1144">
        <f>SUM(B52:C52)</f>
        <v>6142883.3499999996</v>
      </c>
      <c r="E52" s="1147"/>
      <c r="F52" s="1144" t="s">
        <v>149</v>
      </c>
      <c r="G52" s="1165">
        <v>2909628.9400000009</v>
      </c>
      <c r="H52" s="1165">
        <v>7843541.5099999998</v>
      </c>
      <c r="I52" s="1144">
        <f>SUM(G52:H52)</f>
        <v>10753170.450000001</v>
      </c>
      <c r="J52" s="1149"/>
    </row>
    <row r="53" spans="1:10" ht="16.5">
      <c r="A53" s="1144" t="s">
        <v>148</v>
      </c>
      <c r="B53" s="1150">
        <v>5919144.4799999986</v>
      </c>
      <c r="C53" s="1150">
        <v>3045871.83</v>
      </c>
      <c r="D53" s="1151">
        <f>SUM(B53:C53)</f>
        <v>8965016.3099999987</v>
      </c>
      <c r="E53" s="1147"/>
      <c r="F53" s="1144" t="s">
        <v>151</v>
      </c>
      <c r="G53" s="1150">
        <v>895535.38000000012</v>
      </c>
      <c r="H53" s="1150">
        <v>1411977.79</v>
      </c>
      <c r="I53" s="1151">
        <f>SUM(G53:H53)</f>
        <v>2307513.17</v>
      </c>
      <c r="J53" s="1149"/>
    </row>
    <row r="54" spans="1:10" ht="16.5">
      <c r="A54" s="1144" t="s">
        <v>150</v>
      </c>
      <c r="B54" s="1150">
        <v>89794644.710000023</v>
      </c>
      <c r="C54" s="1150">
        <v>71889767.540000007</v>
      </c>
      <c r="D54" s="1151">
        <f>SUM(B54:C54)</f>
        <v>161684412.25000003</v>
      </c>
      <c r="E54" s="1147"/>
      <c r="F54" s="1144" t="s">
        <v>153</v>
      </c>
      <c r="G54" s="1150">
        <v>6490048.2599999998</v>
      </c>
      <c r="H54" s="1150">
        <v>8720132.6999999993</v>
      </c>
      <c r="I54" s="1151">
        <f>SUM(G54:H54)</f>
        <v>15210180.959999999</v>
      </c>
      <c r="J54" s="1149"/>
    </row>
    <row r="55" spans="1:10" ht="16.5">
      <c r="A55" s="1144" t="s">
        <v>152</v>
      </c>
      <c r="B55" s="1150">
        <v>4599090.879999999</v>
      </c>
      <c r="C55" s="1150">
        <v>4726816.95</v>
      </c>
      <c r="D55" s="1151">
        <f>SUM(B55:C55)</f>
        <v>9325907.8299999982</v>
      </c>
      <c r="E55" s="1147"/>
      <c r="F55" s="1148" t="s">
        <v>155</v>
      </c>
      <c r="G55" s="1150">
        <v>1085836.6600000001</v>
      </c>
      <c r="H55" s="1150">
        <v>1645066.81</v>
      </c>
      <c r="I55" s="1151">
        <f>SUM(G55:H55)</f>
        <v>2730903.47</v>
      </c>
      <c r="J55" s="1149"/>
    </row>
    <row r="56" spans="1:10" ht="16.5">
      <c r="A56" s="1144" t="s">
        <v>154</v>
      </c>
      <c r="B56" s="1150">
        <v>987672.2000000003</v>
      </c>
      <c r="C56" s="1150">
        <v>691438.74</v>
      </c>
      <c r="D56" s="1151">
        <f>SUM(B56:C56)</f>
        <v>1679110.9400000004</v>
      </c>
      <c r="E56" s="1147"/>
      <c r="F56" s="1148" t="s">
        <v>133</v>
      </c>
      <c r="G56" s="1150">
        <v>3407339.9399999995</v>
      </c>
      <c r="H56" s="1150">
        <v>11764456.16</v>
      </c>
      <c r="I56" s="1151">
        <f>SUM(G56:H56)</f>
        <v>15171796.1</v>
      </c>
      <c r="J56" s="1149"/>
    </row>
    <row r="57" spans="1:10" ht="11.1" customHeight="1">
      <c r="A57" s="1144"/>
      <c r="B57" s="1150"/>
      <c r="C57" s="1150"/>
      <c r="D57" s="1151"/>
      <c r="E57" s="1148"/>
      <c r="G57" s="1131"/>
      <c r="H57" s="1131"/>
      <c r="I57" s="1131"/>
      <c r="J57" s="1149"/>
    </row>
    <row r="58" spans="1:10" ht="16.5">
      <c r="A58" s="1144" t="s">
        <v>156</v>
      </c>
      <c r="B58" s="1150">
        <v>1181417.8200000003</v>
      </c>
      <c r="C58" s="1150">
        <v>1614816.35</v>
      </c>
      <c r="D58" s="1151">
        <f>SUM(B58:C58)</f>
        <v>2796234.1700000004</v>
      </c>
      <c r="E58" s="1147"/>
      <c r="F58" s="1148" t="s">
        <v>157</v>
      </c>
      <c r="G58" s="1150">
        <v>2622024.3199999998</v>
      </c>
      <c r="H58" s="1150">
        <v>5764477.5199999996</v>
      </c>
      <c r="I58" s="1151">
        <f>SUM(G58:H58)</f>
        <v>8386501.8399999999</v>
      </c>
      <c r="J58" s="1149"/>
    </row>
    <row r="59" spans="1:10" ht="16.5">
      <c r="A59" s="1144" t="s">
        <v>27</v>
      </c>
      <c r="B59" s="1150">
        <v>14868470.739999996</v>
      </c>
      <c r="C59" s="1150">
        <v>13174575.779999999</v>
      </c>
      <c r="D59" s="1151">
        <f>SUM(B59:C59)</f>
        <v>28043046.519999996</v>
      </c>
      <c r="E59" s="1147"/>
      <c r="F59" s="1148" t="s">
        <v>26</v>
      </c>
      <c r="G59" s="1150">
        <v>1465578.1</v>
      </c>
      <c r="H59" s="1150">
        <v>1897036.57</v>
      </c>
      <c r="I59" s="1151">
        <f>SUM(G59:H59)</f>
        <v>3362614.67</v>
      </c>
      <c r="J59" s="1149"/>
    </row>
    <row r="60" spans="1:10" ht="16.5">
      <c r="A60" s="1144" t="s">
        <v>158</v>
      </c>
      <c r="B60" s="1150">
        <v>2943211.5</v>
      </c>
      <c r="C60" s="1150">
        <v>3191397.16</v>
      </c>
      <c r="D60" s="1151">
        <f>SUM(B60:C60)</f>
        <v>6134608.6600000001</v>
      </c>
      <c r="E60" s="1147"/>
      <c r="F60" s="1148" t="s">
        <v>160</v>
      </c>
      <c r="G60" s="1152">
        <v>3828413.8199999994</v>
      </c>
      <c r="H60" s="1150">
        <v>12379924.68</v>
      </c>
      <c r="I60" s="1151">
        <f>SUM(G60:H60)</f>
        <v>16208338.5</v>
      </c>
      <c r="J60" s="1149"/>
    </row>
    <row r="61" spans="1:10" ht="16.5">
      <c r="A61" s="1144" t="s">
        <v>159</v>
      </c>
      <c r="B61" s="1150">
        <v>13370171.16</v>
      </c>
      <c r="C61" s="1150">
        <v>8908072.0399999991</v>
      </c>
      <c r="D61" s="1151">
        <f>SUM(B61:C61)</f>
        <v>22278243.199999999</v>
      </c>
      <c r="E61" s="1147"/>
      <c r="F61" s="1148" t="s">
        <v>162</v>
      </c>
      <c r="G61" s="1152">
        <v>1161612.7599999998</v>
      </c>
      <c r="H61" s="1150">
        <v>2401875.79</v>
      </c>
      <c r="I61" s="1151">
        <f>SUM(G61:H61)</f>
        <v>3563488.55</v>
      </c>
      <c r="J61" s="1149"/>
    </row>
    <row r="62" spans="1:10" ht="16.5">
      <c r="A62" s="1144" t="s">
        <v>161</v>
      </c>
      <c r="B62" s="1150">
        <v>3966188.4800000014</v>
      </c>
      <c r="C62" s="1150">
        <v>2093364.94</v>
      </c>
      <c r="D62" s="1151">
        <f>SUM(B62:C62)</f>
        <v>6059553.4200000018</v>
      </c>
      <c r="E62" s="1147"/>
      <c r="F62" s="1148" t="s">
        <v>164</v>
      </c>
      <c r="G62" s="1152">
        <v>20715283.530000001</v>
      </c>
      <c r="H62" s="1150">
        <v>16840068.34</v>
      </c>
      <c r="I62" s="1151">
        <f>SUM(G62:H62)</f>
        <v>37555351.870000005</v>
      </c>
      <c r="J62" s="1149"/>
    </row>
    <row r="63" spans="1:10" ht="11.1" customHeight="1">
      <c r="A63" s="1144"/>
      <c r="B63" s="1150"/>
      <c r="C63" s="1150"/>
      <c r="D63" s="1151"/>
      <c r="E63" s="1148"/>
      <c r="G63" s="1166"/>
      <c r="H63" s="1131"/>
      <c r="I63" s="1131"/>
    </row>
    <row r="64" spans="1:10" ht="16.5">
      <c r="A64" s="1144" t="s">
        <v>163</v>
      </c>
      <c r="B64" s="1150">
        <v>3192928.1199999996</v>
      </c>
      <c r="C64" s="1150">
        <v>1777654.92</v>
      </c>
      <c r="D64" s="1151">
        <f>SUM(B64:C64)</f>
        <v>4970583.0399999991</v>
      </c>
      <c r="E64" s="1147"/>
      <c r="F64" s="1148" t="s">
        <v>166</v>
      </c>
      <c r="G64" s="1152">
        <v>6114612.2800000003</v>
      </c>
      <c r="H64" s="1150">
        <v>14231234.289999999</v>
      </c>
      <c r="I64" s="1151">
        <f>SUM(G64:H64)</f>
        <v>20345846.57</v>
      </c>
      <c r="J64" s="1149"/>
    </row>
    <row r="65" spans="1:10" ht="16.5">
      <c r="A65" s="1144" t="s">
        <v>165</v>
      </c>
      <c r="B65" s="1150">
        <v>6714793.25</v>
      </c>
      <c r="C65" s="1150">
        <v>5400382.6799999997</v>
      </c>
      <c r="D65" s="1151">
        <f>SUM(B65:C65)</f>
        <v>12115175.93</v>
      </c>
      <c r="E65" s="1147"/>
      <c r="F65" s="1148" t="s">
        <v>168</v>
      </c>
      <c r="G65" s="1150">
        <v>4102240.9399999995</v>
      </c>
      <c r="H65" s="1150">
        <v>2221516.79</v>
      </c>
      <c r="I65" s="1151">
        <f>SUM(G65:H65)</f>
        <v>6323757.7299999995</v>
      </c>
      <c r="J65" s="1149"/>
    </row>
    <row r="66" spans="1:10" ht="16.5">
      <c r="A66" s="1144" t="s">
        <v>167</v>
      </c>
      <c r="B66" s="1150">
        <v>4599090.879999999</v>
      </c>
      <c r="C66" s="1150">
        <v>2719411.28</v>
      </c>
      <c r="D66" s="1151">
        <f>SUM(B66:C66)</f>
        <v>7318502.1599999983</v>
      </c>
      <c r="E66" s="1147"/>
      <c r="F66" s="1148" t="s">
        <v>170</v>
      </c>
      <c r="G66" s="1150">
        <v>606208.6</v>
      </c>
      <c r="H66" s="1150">
        <v>1106798.18</v>
      </c>
      <c r="I66" s="1151">
        <f>SUM(G66:H66)</f>
        <v>1713006.7799999998</v>
      </c>
      <c r="J66" s="1149"/>
    </row>
    <row r="67" spans="1:10" ht="16.5">
      <c r="A67" s="1144" t="s">
        <v>169</v>
      </c>
      <c r="B67" s="1150">
        <v>2688328.3600000003</v>
      </c>
      <c r="C67" s="1150">
        <v>823030.78</v>
      </c>
      <c r="D67" s="1151">
        <f>SUM(B67:C67)</f>
        <v>3511359.1400000006</v>
      </c>
      <c r="E67" s="1147"/>
      <c r="F67" s="1148" t="s">
        <v>172</v>
      </c>
      <c r="G67" s="1150">
        <v>10693036.999999996</v>
      </c>
      <c r="H67" s="1150">
        <v>16418485.42</v>
      </c>
      <c r="I67" s="1151">
        <f>SUM(G67:H67)</f>
        <v>27111522.419999994</v>
      </c>
      <c r="J67" s="1149"/>
    </row>
    <row r="68" spans="1:10" ht="16.5">
      <c r="A68" s="1144" t="s">
        <v>171</v>
      </c>
      <c r="B68" s="1150">
        <v>24929466.399999999</v>
      </c>
      <c r="C68" s="1150">
        <v>20631324.399999999</v>
      </c>
      <c r="D68" s="1151">
        <f>SUM(B68:C68)</f>
        <v>45560790.799999997</v>
      </c>
      <c r="E68" s="1147"/>
      <c r="F68" s="1148" t="s">
        <v>174</v>
      </c>
      <c r="G68" s="1150">
        <v>7557802.0399999991</v>
      </c>
      <c r="H68" s="1221">
        <v>10500245.1</v>
      </c>
      <c r="I68" s="1222">
        <f>SUM(G68:H68)</f>
        <v>18058047.140000001</v>
      </c>
      <c r="J68" s="1149"/>
    </row>
    <row r="69" spans="1:10" ht="11.1" customHeight="1">
      <c r="A69" s="1144"/>
      <c r="B69" s="1150"/>
      <c r="C69" s="1150"/>
      <c r="D69" s="1151"/>
      <c r="E69" s="1148"/>
      <c r="G69" s="1131"/>
      <c r="H69" s="1131"/>
      <c r="I69" s="1131"/>
    </row>
    <row r="70" spans="1:10" ht="16.5">
      <c r="A70" s="1144" t="s">
        <v>173</v>
      </c>
      <c r="B70" s="1150">
        <v>29325339.650000006</v>
      </c>
      <c r="C70" s="1150">
        <v>16927032.25</v>
      </c>
      <c r="D70" s="1151">
        <f>SUM(B70:C70)</f>
        <v>46252371.900000006</v>
      </c>
      <c r="E70" s="1147"/>
      <c r="F70" s="1148" t="s">
        <v>176</v>
      </c>
      <c r="G70" s="1150">
        <v>3134373.84</v>
      </c>
      <c r="H70" s="1150">
        <v>2384026.2400000002</v>
      </c>
      <c r="I70" s="1151">
        <f>SUM(G70:H70)</f>
        <v>5518400.0800000001</v>
      </c>
      <c r="J70" s="1149"/>
    </row>
    <row r="71" spans="1:10" ht="16.5">
      <c r="A71" s="1144" t="s">
        <v>175</v>
      </c>
      <c r="B71" s="1150">
        <v>888646.66000000015</v>
      </c>
      <c r="C71" s="1150">
        <v>661579.69999999995</v>
      </c>
      <c r="D71" s="1151">
        <f>SUM(B71:C71)</f>
        <v>1550226.36</v>
      </c>
      <c r="E71" s="1147"/>
      <c r="F71" s="1148" t="s">
        <v>178</v>
      </c>
      <c r="G71" s="1150">
        <v>2246588.29</v>
      </c>
      <c r="H71" s="1150">
        <v>2061023.14</v>
      </c>
      <c r="I71" s="1151">
        <f>SUM(G71:H71)</f>
        <v>4307611.43</v>
      </c>
      <c r="J71" s="1149"/>
    </row>
    <row r="72" spans="1:10" ht="16.5">
      <c r="A72" s="1144" t="s">
        <v>177</v>
      </c>
      <c r="B72" s="1150">
        <v>1312303.82</v>
      </c>
      <c r="C72" s="1150">
        <v>1116209.5</v>
      </c>
      <c r="D72" s="1151">
        <f>SUM(B72:C72)</f>
        <v>2428513.3200000003</v>
      </c>
      <c r="E72" s="1147"/>
      <c r="F72" s="1148" t="s">
        <v>180</v>
      </c>
      <c r="G72" s="1150">
        <v>28672632.140000001</v>
      </c>
      <c r="H72" s="1150">
        <v>26943972.43</v>
      </c>
      <c r="I72" s="1151">
        <f>SUM(G72:H72)</f>
        <v>55616604.57</v>
      </c>
      <c r="J72" s="1149"/>
    </row>
    <row r="73" spans="1:10" ht="16.5">
      <c r="A73" s="1144" t="s">
        <v>179</v>
      </c>
      <c r="B73" s="1150">
        <v>6245498.2400000002</v>
      </c>
      <c r="C73" s="1150">
        <v>6148848.6299999999</v>
      </c>
      <c r="D73" s="1151">
        <f>SUM(B73:C73)</f>
        <v>12394346.870000001</v>
      </c>
      <c r="E73" s="1147"/>
      <c r="F73" s="1148" t="s">
        <v>182</v>
      </c>
      <c r="G73" s="1150">
        <v>31954252.690000005</v>
      </c>
      <c r="H73" s="1150">
        <v>35379894.259999998</v>
      </c>
      <c r="I73" s="1151">
        <f>SUM(G73:H73)</f>
        <v>67334146.950000003</v>
      </c>
      <c r="J73" s="1149"/>
    </row>
    <row r="74" spans="1:10" ht="16.5">
      <c r="A74" s="1144" t="s">
        <v>181</v>
      </c>
      <c r="B74" s="1150">
        <v>6359162.3600000013</v>
      </c>
      <c r="C74" s="1152">
        <v>5454858.75</v>
      </c>
      <c r="D74" s="1151">
        <f>SUM(B74:C74)</f>
        <v>11814021.110000001</v>
      </c>
      <c r="E74" s="1147"/>
      <c r="F74" s="1148" t="s">
        <v>184</v>
      </c>
      <c r="G74" s="1150">
        <v>690595.56</v>
      </c>
      <c r="H74" s="1150">
        <v>1633607.69</v>
      </c>
      <c r="I74" s="1151">
        <f>SUM(G74:H74)</f>
        <v>2324203.25</v>
      </c>
      <c r="J74" s="1149"/>
    </row>
    <row r="75" spans="1:10" ht="11.1" customHeight="1">
      <c r="A75" s="1144"/>
      <c r="B75" s="1150"/>
      <c r="C75" s="1150"/>
      <c r="D75" s="1151"/>
      <c r="E75" s="1148"/>
      <c r="G75" s="1131"/>
      <c r="H75" s="1131"/>
      <c r="I75" s="1131"/>
    </row>
    <row r="76" spans="1:10" ht="16.5">
      <c r="A76" s="1144" t="s">
        <v>183</v>
      </c>
      <c r="B76" s="1150">
        <v>7585357.0000000009</v>
      </c>
      <c r="C76" s="1150">
        <v>8292946.2300000004</v>
      </c>
      <c r="D76" s="1151">
        <f>SUM(B76:C76)</f>
        <v>15878303.23</v>
      </c>
      <c r="E76" s="1147"/>
      <c r="F76" s="1148" t="s">
        <v>186</v>
      </c>
      <c r="G76" s="1150">
        <v>4364873.9400000004</v>
      </c>
      <c r="H76" s="1150">
        <v>4195926.66</v>
      </c>
      <c r="I76" s="1151">
        <f>SUM(G76:H76)</f>
        <v>8560800.6000000015</v>
      </c>
      <c r="J76" s="1149"/>
    </row>
    <row r="77" spans="1:10" ht="16.5">
      <c r="A77" s="1144" t="s">
        <v>185</v>
      </c>
      <c r="B77" s="1150">
        <v>2387807.3200000003</v>
      </c>
      <c r="C77" s="1150">
        <v>1256726.6499999999</v>
      </c>
      <c r="D77" s="1151">
        <f>SUM(B77:C77)</f>
        <v>3644533.97</v>
      </c>
      <c r="E77" s="1147"/>
      <c r="F77" s="1148" t="s">
        <v>188</v>
      </c>
      <c r="G77" s="1150">
        <v>2214727.9199999995</v>
      </c>
      <c r="H77" s="1150">
        <v>752770.42</v>
      </c>
      <c r="I77" s="1151">
        <f>SUM(G77:H77)</f>
        <v>2967498.3399999994</v>
      </c>
      <c r="J77" s="1149"/>
    </row>
    <row r="78" spans="1:10" ht="16.5">
      <c r="A78" s="1144" t="s">
        <v>187</v>
      </c>
      <c r="B78" s="1150">
        <v>5760703.6199999992</v>
      </c>
      <c r="C78" s="1150">
        <v>3352637.33</v>
      </c>
      <c r="D78" s="1151">
        <f>SUM(B78:C78)</f>
        <v>9113340.9499999993</v>
      </c>
      <c r="E78" s="1147"/>
      <c r="F78" s="1148" t="s">
        <v>190</v>
      </c>
      <c r="G78" s="1150">
        <v>15001078.859999999</v>
      </c>
      <c r="H78" s="1150">
        <v>8332901.7699999996</v>
      </c>
      <c r="I78" s="1151">
        <f>SUM(G78:H78)</f>
        <v>23333980.629999999</v>
      </c>
      <c r="J78" s="1149"/>
    </row>
    <row r="79" spans="1:10" ht="16.5">
      <c r="A79" s="1144" t="s">
        <v>189</v>
      </c>
      <c r="B79" s="1150">
        <v>4346791</v>
      </c>
      <c r="C79" s="1150">
        <v>4814827.75</v>
      </c>
      <c r="D79" s="1151">
        <f>SUM(B79:C79)</f>
        <v>9161618.75</v>
      </c>
      <c r="E79" s="1147"/>
      <c r="F79" s="1148" t="s">
        <v>192</v>
      </c>
      <c r="G79" s="1152">
        <v>1574936.7599999995</v>
      </c>
      <c r="H79" s="1150">
        <v>1077324.93</v>
      </c>
      <c r="I79" s="1151">
        <f>SUM(G79:H79)</f>
        <v>2652261.6899999995</v>
      </c>
      <c r="J79" s="1149"/>
    </row>
    <row r="80" spans="1:10" ht="16.5">
      <c r="A80" s="1144" t="s">
        <v>191</v>
      </c>
      <c r="B80" s="1150">
        <v>12753629.5</v>
      </c>
      <c r="C80" s="1150">
        <v>11127042.07</v>
      </c>
      <c r="D80" s="1151">
        <f>SUM(B80:C80)</f>
        <v>23880671.57</v>
      </c>
      <c r="E80" s="1147"/>
      <c r="F80" s="1148" t="s">
        <v>156</v>
      </c>
      <c r="G80" s="1152">
        <v>25863750.960000001</v>
      </c>
      <c r="H80" s="1150">
        <v>37128658.850000001</v>
      </c>
      <c r="I80" s="1151">
        <f>SUM(G80:H80)</f>
        <v>62992409.810000002</v>
      </c>
      <c r="J80" s="1149"/>
    </row>
    <row r="81" spans="1:10" ht="11.1" customHeight="1">
      <c r="B81" s="1131"/>
      <c r="C81" s="1131"/>
      <c r="D81" s="1131"/>
      <c r="E81" s="1148"/>
      <c r="G81" s="1166"/>
      <c r="H81" s="1131"/>
      <c r="I81" s="1131"/>
    </row>
    <row r="82" spans="1:10" ht="16.5">
      <c r="A82" s="1167" t="s">
        <v>24</v>
      </c>
      <c r="B82" s="1167">
        <f>SUM(B6:B46,G6:G46,B52:B80)</f>
        <v>981214016.48000014</v>
      </c>
      <c r="C82" s="1167">
        <f>SUM(C6:C46,C52:C80,H6:H46)</f>
        <v>898585697.86000001</v>
      </c>
      <c r="D82" s="1167">
        <f>SUM(G94:H94)</f>
        <v>1879799714.3400002</v>
      </c>
      <c r="E82" s="1148"/>
      <c r="F82" s="1148" t="s">
        <v>27</v>
      </c>
      <c r="G82" s="1152">
        <v>15153492.119999999</v>
      </c>
      <c r="H82" s="1150">
        <v>22366851.399999999</v>
      </c>
      <c r="I82" s="1151">
        <f>SUM(G82:H82)</f>
        <v>37520343.519999996</v>
      </c>
      <c r="J82" s="1149"/>
    </row>
    <row r="83" spans="1:10" ht="16.5">
      <c r="A83" s="1148"/>
      <c r="B83" s="1148"/>
      <c r="C83" s="1148"/>
      <c r="D83" s="1148"/>
      <c r="E83" s="1148"/>
      <c r="F83" s="1148" t="s">
        <v>193</v>
      </c>
      <c r="G83" s="1152">
        <v>3717332.9800000014</v>
      </c>
      <c r="H83" s="1150">
        <v>7616199.8600000003</v>
      </c>
      <c r="I83" s="1151">
        <f>SUM(G83:H83)</f>
        <v>11333532.840000002</v>
      </c>
      <c r="J83" s="1149"/>
    </row>
    <row r="84" spans="1:10" ht="17.25" thickBot="1">
      <c r="A84" s="1144"/>
      <c r="B84" s="1151"/>
      <c r="C84" s="1151"/>
      <c r="D84" s="1151"/>
      <c r="E84" s="1148"/>
      <c r="F84" s="1148" t="s">
        <v>194</v>
      </c>
      <c r="G84" s="1152">
        <v>3309175.52</v>
      </c>
      <c r="H84" s="1150">
        <v>4784741.25</v>
      </c>
      <c r="I84" s="1151">
        <f>SUM(G84:H84)</f>
        <v>8093916.7699999996</v>
      </c>
      <c r="J84" s="1149"/>
    </row>
    <row r="85" spans="1:10" ht="16.5">
      <c r="A85" s="1162"/>
      <c r="B85" s="1137" t="s">
        <v>76</v>
      </c>
      <c r="C85" s="1137" t="s">
        <v>59</v>
      </c>
      <c r="D85" s="1137" t="s">
        <v>17</v>
      </c>
      <c r="E85" s="1148"/>
      <c r="F85" s="1148" t="s">
        <v>195</v>
      </c>
      <c r="G85" s="1152">
        <v>16347826.299999997</v>
      </c>
      <c r="H85" s="1150">
        <v>12425630.050000001</v>
      </c>
      <c r="I85" s="1151">
        <f>SUM(G85:H85)</f>
        <v>28773456.349999998</v>
      </c>
      <c r="J85" s="1149"/>
    </row>
    <row r="86" spans="1:10" ht="16.5">
      <c r="A86" s="1140" t="s">
        <v>25</v>
      </c>
      <c r="B86" s="1142" t="s">
        <v>77</v>
      </c>
      <c r="C86" s="1142" t="s">
        <v>68</v>
      </c>
      <c r="D86" s="1142" t="s">
        <v>20</v>
      </c>
      <c r="E86" s="1148"/>
      <c r="F86" s="1148"/>
      <c r="G86" s="1152"/>
      <c r="H86" s="1150"/>
      <c r="I86" s="1151"/>
      <c r="J86" s="1149"/>
    </row>
    <row r="87" spans="1:10" ht="11.1" customHeight="1">
      <c r="B87" s="1131"/>
      <c r="C87" s="1131"/>
      <c r="D87" s="1131"/>
      <c r="E87" s="1148"/>
      <c r="F87" s="1148" t="s">
        <v>28</v>
      </c>
      <c r="G87" s="1152">
        <v>72316204.899999991</v>
      </c>
      <c r="H87" s="1150">
        <v>68272789.620000005</v>
      </c>
      <c r="I87" s="1151">
        <f>SUM(G87:H87)</f>
        <v>140588994.51999998</v>
      </c>
    </row>
    <row r="88" spans="1:10" ht="16.5">
      <c r="A88" s="1144" t="s">
        <v>196</v>
      </c>
      <c r="B88" s="1164">
        <v>17574882.020000003</v>
      </c>
      <c r="C88" s="1164">
        <v>30200746.539999999</v>
      </c>
      <c r="D88" s="1144">
        <f>SUM(B88:C88)</f>
        <v>47775628.560000002</v>
      </c>
      <c r="E88" s="1147"/>
      <c r="F88" s="1148" t="s">
        <v>197</v>
      </c>
      <c r="G88" s="1152">
        <v>3549420.08</v>
      </c>
      <c r="H88" s="1150">
        <v>5475042.7400000002</v>
      </c>
      <c r="I88" s="1151">
        <f>SUM(G88:H88)</f>
        <v>9024462.8200000003</v>
      </c>
      <c r="J88" s="1149"/>
    </row>
    <row r="89" spans="1:10" ht="16.5">
      <c r="A89" s="1144" t="s">
        <v>198</v>
      </c>
      <c r="B89" s="1150">
        <v>2639246.1199999996</v>
      </c>
      <c r="C89" s="1150">
        <v>4302597.37</v>
      </c>
      <c r="D89" s="1151">
        <f>SUM(B89:C89)</f>
        <v>6941843.4900000002</v>
      </c>
      <c r="E89" s="1147"/>
      <c r="F89" s="1148" t="s">
        <v>199</v>
      </c>
      <c r="G89" s="1152">
        <v>1233944.4000000001</v>
      </c>
      <c r="H89" s="1150">
        <v>4915126.32</v>
      </c>
      <c r="I89" s="1151">
        <f>SUM(G89:H89)</f>
        <v>6149070.7200000007</v>
      </c>
      <c r="J89" s="1149"/>
    </row>
    <row r="90" spans="1:10" ht="16.5">
      <c r="A90" s="1144" t="s">
        <v>200</v>
      </c>
      <c r="B90" s="1152">
        <v>1012643.84</v>
      </c>
      <c r="C90" s="1150">
        <v>423537.21</v>
      </c>
      <c r="D90" s="1151">
        <f>SUM(B90:C90)</f>
        <v>1436181.05</v>
      </c>
      <c r="E90" s="1147"/>
      <c r="F90" s="1148" t="s">
        <v>201</v>
      </c>
      <c r="G90" s="1150">
        <v>4506092.96</v>
      </c>
      <c r="H90" s="1150">
        <v>9735725.0500000007</v>
      </c>
      <c r="I90" s="1151">
        <f>SUM(G90:H90)</f>
        <v>14241818.010000002</v>
      </c>
      <c r="J90" s="1149"/>
    </row>
    <row r="91" spans="1:10" ht="16.5">
      <c r="A91" s="1144" t="s">
        <v>202</v>
      </c>
      <c r="B91" s="1152">
        <v>5071830.24</v>
      </c>
      <c r="C91" s="1150">
        <v>11824755.75</v>
      </c>
      <c r="D91" s="1151">
        <f>SUM(B91:C91)</f>
        <v>16896585.990000002</v>
      </c>
      <c r="E91" s="1147"/>
      <c r="F91" s="1148"/>
      <c r="G91" s="1150"/>
      <c r="H91" s="1150"/>
      <c r="I91" s="1151"/>
      <c r="J91" s="1149"/>
    </row>
    <row r="92" spans="1:10" ht="16.5">
      <c r="A92" s="1144" t="s">
        <v>147</v>
      </c>
      <c r="B92" s="1150">
        <v>43847651.539999999</v>
      </c>
      <c r="C92" s="1150">
        <v>43021955.719999999</v>
      </c>
      <c r="D92" s="1151">
        <f>SUM(B92:C92)</f>
        <v>86869607.25999999</v>
      </c>
      <c r="E92" s="1147"/>
      <c r="G92" s="1131"/>
      <c r="H92" s="1131"/>
      <c r="I92" s="1131"/>
    </row>
    <row r="93" spans="1:10">
      <c r="A93" s="1168"/>
      <c r="B93" s="1169"/>
      <c r="C93" s="1169"/>
      <c r="D93" s="1169"/>
      <c r="E93" s="1168"/>
      <c r="F93" s="1170" t="s">
        <v>29</v>
      </c>
      <c r="G93" s="1167">
        <f>SUM(B88:B92,G52:G90)</f>
        <v>379652756.54999983</v>
      </c>
      <c r="H93" s="1167">
        <f>SUM(C88:C92,H52:H90)</f>
        <v>460402642.92000008</v>
      </c>
      <c r="I93" s="1167">
        <f>SUM(D88:D92,I52:I90)</f>
        <v>840055399.46999991</v>
      </c>
    </row>
    <row r="94" spans="1:10">
      <c r="A94" s="1171"/>
      <c r="B94" s="1160"/>
      <c r="C94" s="1160"/>
      <c r="D94" s="1160"/>
      <c r="E94" s="1161"/>
      <c r="F94" s="1143" t="s">
        <v>24</v>
      </c>
      <c r="G94" s="1143">
        <f>SUM(B6:B46,G6:G46,B52:B80)</f>
        <v>981214016.48000014</v>
      </c>
      <c r="H94" s="1143">
        <f>SUM(C6:C46,C52:C80,H6:H46)</f>
        <v>898585697.86000001</v>
      </c>
      <c r="I94" s="1143">
        <f>SUM(G94:H94)</f>
        <v>1879799714.3400002</v>
      </c>
    </row>
    <row r="95" spans="1:10" ht="11.1" customHeight="1">
      <c r="A95" s="1171"/>
      <c r="B95" s="1160"/>
      <c r="C95" s="1160"/>
      <c r="D95" s="1160"/>
      <c r="E95" s="1161"/>
      <c r="G95" s="1131"/>
      <c r="H95" s="1131"/>
      <c r="I95" s="1131"/>
    </row>
    <row r="96" spans="1:10">
      <c r="A96" s="1172"/>
      <c r="B96" s="1160"/>
      <c r="C96" s="1160"/>
      <c r="D96" s="1160"/>
      <c r="E96" s="1161"/>
      <c r="F96" s="1170" t="s">
        <v>30</v>
      </c>
      <c r="G96" s="1167">
        <f>SUM(G93:G94)</f>
        <v>1360866773.03</v>
      </c>
      <c r="H96" s="1167">
        <f>SUM(H93:H94)</f>
        <v>1358988340.7800002</v>
      </c>
      <c r="I96" s="1167">
        <f>SUM(I93:I94)</f>
        <v>2719855113.8099999</v>
      </c>
    </row>
    <row r="97" spans="1:9">
      <c r="A97" s="1173" t="s">
        <v>19</v>
      </c>
      <c r="B97" s="1174"/>
      <c r="C97" s="1174"/>
      <c r="D97" s="1160"/>
      <c r="E97" s="1161"/>
      <c r="F97" s="1172"/>
      <c r="G97" s="1174"/>
      <c r="H97" s="1174"/>
      <c r="I97" s="1160"/>
    </row>
    <row r="98" spans="1:9">
      <c r="A98" s="1175" t="s">
        <v>970</v>
      </c>
      <c r="B98" s="1176"/>
      <c r="C98" s="1176"/>
      <c r="D98" s="1176"/>
      <c r="E98" s="1161"/>
      <c r="F98" s="1177"/>
      <c r="G98" s="1176"/>
      <c r="H98" s="1367"/>
      <c r="I98" s="1368"/>
    </row>
    <row r="99" spans="1:9">
      <c r="A99" s="1161"/>
      <c r="B99" s="1160"/>
      <c r="C99" s="1160"/>
      <c r="D99" s="1160"/>
      <c r="E99" s="1161"/>
      <c r="F99" s="1178"/>
      <c r="G99" s="1160"/>
      <c r="H99" s="1160"/>
      <c r="I99" s="1160"/>
    </row>
    <row r="100" spans="1:9">
      <c r="A100" s="1161"/>
      <c r="B100" s="1160"/>
      <c r="C100" s="1160"/>
      <c r="D100" s="1160"/>
      <c r="E100" s="1161"/>
      <c r="F100" s="1161"/>
      <c r="G100" s="1160"/>
      <c r="H100" s="1160"/>
      <c r="I100" s="1160"/>
    </row>
    <row r="101" spans="1:9">
      <c r="A101" s="1161"/>
      <c r="B101" s="1160"/>
      <c r="C101" s="1160"/>
      <c r="D101" s="1160"/>
      <c r="E101" s="1161"/>
      <c r="F101" s="1161"/>
      <c r="G101" s="1160"/>
      <c r="H101" s="1160"/>
      <c r="I101" s="1160"/>
    </row>
    <row r="102" spans="1:9">
      <c r="A102" s="1161"/>
      <c r="B102" s="1160"/>
      <c r="C102" s="1160"/>
      <c r="D102" s="1160"/>
      <c r="E102" s="1161"/>
      <c r="F102" s="1161"/>
      <c r="G102" s="1160"/>
      <c r="H102" s="1160"/>
      <c r="I102" s="1160"/>
    </row>
    <row r="103" spans="1:9">
      <c r="A103" s="1161"/>
      <c r="B103" s="1160"/>
      <c r="C103" s="1160"/>
      <c r="D103" s="1160"/>
      <c r="E103" s="1161"/>
      <c r="F103" s="1161"/>
      <c r="G103" s="1160"/>
      <c r="H103" s="1160"/>
      <c r="I103" s="1160"/>
    </row>
    <row r="104" spans="1:9">
      <c r="A104" s="1161"/>
      <c r="B104" s="1160"/>
      <c r="C104" s="1160"/>
      <c r="D104" s="1160"/>
      <c r="E104" s="1161"/>
      <c r="F104" s="1161"/>
      <c r="G104" s="1160"/>
      <c r="H104" s="1160"/>
      <c r="I104" s="1160"/>
    </row>
    <row r="105" spans="1:9">
      <c r="A105" s="1161"/>
      <c r="B105" s="1160"/>
      <c r="C105" s="1160"/>
      <c r="D105" s="1160"/>
      <c r="E105" s="1161"/>
      <c r="F105" s="1161"/>
      <c r="G105" s="1160"/>
      <c r="H105" s="1160"/>
      <c r="I105" s="1160"/>
    </row>
    <row r="106" spans="1:9">
      <c r="A106" s="1161"/>
      <c r="B106" s="1160"/>
      <c r="C106" s="1160"/>
      <c r="D106" s="1160"/>
      <c r="E106" s="1161"/>
      <c r="F106" s="1161"/>
      <c r="G106" s="1160"/>
      <c r="H106" s="1160"/>
      <c r="I106" s="1160"/>
    </row>
    <row r="107" spans="1:9">
      <c r="F107" s="1161"/>
      <c r="G107" s="1160"/>
      <c r="H107" s="1160"/>
      <c r="I107" s="1160"/>
    </row>
    <row r="108" spans="1:9">
      <c r="F108" s="1161"/>
      <c r="G108" s="1160"/>
      <c r="H108" s="1160"/>
      <c r="I108" s="1160"/>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1">
    <mergeCell ref="H98:I98"/>
  </mergeCell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1"/>
  <sheetViews>
    <sheetView zoomScaleNormal="100" workbookViewId="0"/>
  </sheetViews>
  <sheetFormatPr defaultColWidth="9.140625" defaultRowHeight="12"/>
  <cols>
    <col min="1" max="1" width="7.42578125" style="281" customWidth="1"/>
    <col min="2" max="2" width="88.85546875" style="281" customWidth="1"/>
    <col min="3" max="3" width="12.5703125" style="281" customWidth="1"/>
    <col min="4" max="4" width="15.28515625" style="281" customWidth="1"/>
    <col min="5" max="5" width="5.28515625" style="281" customWidth="1"/>
    <col min="6" max="16384" width="9.140625" style="281"/>
  </cols>
  <sheetData>
    <row r="1" spans="1:5" s="280" customFormat="1" ht="12.75">
      <c r="A1" s="279" t="s">
        <v>811</v>
      </c>
    </row>
    <row r="2" spans="1:5" ht="11.25" customHeight="1"/>
    <row r="3" spans="1:5" ht="10.5" customHeight="1"/>
    <row r="4" spans="1:5" ht="12.75">
      <c r="A4" s="854" t="s">
        <v>812</v>
      </c>
    </row>
    <row r="5" spans="1:5">
      <c r="B5" s="281" t="s">
        <v>952</v>
      </c>
      <c r="E5" s="281">
        <v>1</v>
      </c>
    </row>
    <row r="6" spans="1:5">
      <c r="B6" s="281" t="s">
        <v>953</v>
      </c>
      <c r="E6" s="281">
        <v>2</v>
      </c>
    </row>
    <row r="7" spans="1:5" ht="10.5" customHeight="1"/>
    <row r="8" spans="1:5" ht="12.75">
      <c r="A8" s="282" t="s">
        <v>3</v>
      </c>
    </row>
    <row r="9" spans="1:5">
      <c r="A9" s="281">
        <v>1.1000000000000001</v>
      </c>
      <c r="B9" s="281" t="s">
        <v>813</v>
      </c>
      <c r="E9" s="281">
        <v>3</v>
      </c>
    </row>
    <row r="10" spans="1:5">
      <c r="A10" s="281">
        <v>1.2</v>
      </c>
      <c r="B10" s="281" t="s">
        <v>1017</v>
      </c>
      <c r="E10" s="281">
        <v>4</v>
      </c>
    </row>
    <row r="11" spans="1:5">
      <c r="A11" s="281">
        <v>1.3</v>
      </c>
      <c r="B11" s="281" t="s">
        <v>814</v>
      </c>
      <c r="E11" s="281">
        <v>5</v>
      </c>
    </row>
    <row r="12" spans="1:5">
      <c r="A12" s="281">
        <v>1.4</v>
      </c>
      <c r="B12" s="281" t="s">
        <v>815</v>
      </c>
      <c r="E12" s="281">
        <v>6</v>
      </c>
    </row>
    <row r="13" spans="1:5">
      <c r="A13" s="281">
        <v>1.5</v>
      </c>
      <c r="B13" s="281" t="s">
        <v>816</v>
      </c>
      <c r="E13" s="281">
        <v>7</v>
      </c>
    </row>
    <row r="14" spans="1:5">
      <c r="A14" s="281">
        <v>1.6</v>
      </c>
      <c r="B14" s="281" t="s">
        <v>1010</v>
      </c>
      <c r="E14" s="281">
        <v>12</v>
      </c>
    </row>
    <row r="15" spans="1:5">
      <c r="A15" s="283">
        <v>1.7</v>
      </c>
      <c r="B15" s="281" t="s">
        <v>817</v>
      </c>
      <c r="E15" s="281">
        <v>17</v>
      </c>
    </row>
    <row r="16" spans="1:5">
      <c r="A16" s="283">
        <v>1.8</v>
      </c>
      <c r="B16" s="281" t="s">
        <v>1006</v>
      </c>
      <c r="E16" s="281">
        <v>22</v>
      </c>
    </row>
    <row r="17" spans="1:5">
      <c r="A17" s="284">
        <v>1.9</v>
      </c>
      <c r="B17" s="281" t="s">
        <v>818</v>
      </c>
      <c r="E17" s="281">
        <v>22</v>
      </c>
    </row>
    <row r="18" spans="1:5">
      <c r="A18" s="283" t="s">
        <v>819</v>
      </c>
      <c r="B18" s="281" t="s">
        <v>820</v>
      </c>
      <c r="E18" s="281">
        <v>23</v>
      </c>
    </row>
    <row r="19" spans="1:5" ht="10.5" customHeight="1"/>
    <row r="20" spans="1:5" ht="12.75">
      <c r="A20" s="282" t="s">
        <v>821</v>
      </c>
    </row>
    <row r="21" spans="1:5">
      <c r="A21" s="281">
        <v>2.1</v>
      </c>
      <c r="B21" s="281" t="s">
        <v>822</v>
      </c>
      <c r="E21" s="281">
        <v>24</v>
      </c>
    </row>
    <row r="22" spans="1:5">
      <c r="A22" s="281">
        <v>2.2000000000000002</v>
      </c>
      <c r="B22" s="281" t="s">
        <v>823</v>
      </c>
      <c r="E22" s="281">
        <v>25</v>
      </c>
    </row>
    <row r="23" spans="1:5" ht="10.5" customHeight="1"/>
    <row r="24" spans="1:5" ht="13.15" customHeight="1">
      <c r="A24" s="282" t="s">
        <v>824</v>
      </c>
    </row>
    <row r="25" spans="1:5" ht="10.5" customHeight="1">
      <c r="A25" s="281">
        <v>3.1</v>
      </c>
      <c r="B25" s="281" t="s">
        <v>1007</v>
      </c>
      <c r="E25" s="281">
        <v>26</v>
      </c>
    </row>
    <row r="26" spans="1:5" ht="10.5" customHeight="1"/>
    <row r="27" spans="1:5" ht="12.75">
      <c r="A27" s="282" t="s">
        <v>2</v>
      </c>
    </row>
    <row r="28" spans="1:5">
      <c r="A28" s="281">
        <v>4.0999999999999996</v>
      </c>
      <c r="B28" s="281" t="s">
        <v>825</v>
      </c>
      <c r="E28" s="281">
        <v>27</v>
      </c>
    </row>
    <row r="29" spans="1:5">
      <c r="A29" s="283" t="s">
        <v>826</v>
      </c>
      <c r="B29" s="281" t="s">
        <v>827</v>
      </c>
      <c r="E29" s="281">
        <v>28</v>
      </c>
    </row>
    <row r="30" spans="1:5">
      <c r="A30" s="283" t="s">
        <v>828</v>
      </c>
      <c r="B30" s="281" t="s">
        <v>1146</v>
      </c>
      <c r="E30" s="281">
        <v>29</v>
      </c>
    </row>
    <row r="31" spans="1:5" ht="10.5" customHeight="1"/>
    <row r="32" spans="1:5" ht="12.75">
      <c r="A32" s="282" t="s">
        <v>829</v>
      </c>
    </row>
    <row r="33" spans="1:6">
      <c r="A33" s="281">
        <v>5.0999999999999996</v>
      </c>
      <c r="B33" s="281" t="s">
        <v>830</v>
      </c>
      <c r="E33" s="281">
        <v>31</v>
      </c>
      <c r="F33" s="461"/>
    </row>
    <row r="34" spans="1:6">
      <c r="A34" s="281">
        <v>5.2</v>
      </c>
      <c r="B34" s="281" t="s">
        <v>901</v>
      </c>
      <c r="E34" s="281">
        <v>32</v>
      </c>
    </row>
    <row r="35" spans="1:6">
      <c r="A35" s="283" t="s">
        <v>831</v>
      </c>
      <c r="B35" s="281" t="s">
        <v>1147</v>
      </c>
      <c r="E35" s="281">
        <v>34</v>
      </c>
    </row>
    <row r="36" spans="1:6">
      <c r="A36" s="283" t="s">
        <v>832</v>
      </c>
      <c r="B36" s="281" t="s">
        <v>833</v>
      </c>
      <c r="E36" s="281">
        <v>34</v>
      </c>
    </row>
    <row r="37" spans="1:6">
      <c r="A37" s="283" t="s">
        <v>834</v>
      </c>
      <c r="B37" s="281" t="s">
        <v>835</v>
      </c>
      <c r="E37" s="281">
        <v>35</v>
      </c>
    </row>
    <row r="38" spans="1:6">
      <c r="A38" s="283" t="s">
        <v>836</v>
      </c>
      <c r="B38" s="281" t="s">
        <v>1148</v>
      </c>
      <c r="E38" s="281">
        <v>40</v>
      </c>
    </row>
    <row r="39" spans="1:6">
      <c r="A39" s="283" t="s">
        <v>900</v>
      </c>
      <c r="B39" s="281" t="s">
        <v>1009</v>
      </c>
      <c r="E39" s="281">
        <v>42</v>
      </c>
    </row>
    <row r="40" spans="1:6">
      <c r="A40" s="283"/>
    </row>
    <row r="41" spans="1:6" ht="12.75">
      <c r="A41" s="854" t="s">
        <v>1048</v>
      </c>
    </row>
    <row r="42" spans="1:6">
      <c r="A42" s="281">
        <v>6.1</v>
      </c>
      <c r="B42" s="281" t="s">
        <v>1049</v>
      </c>
      <c r="E42" s="281">
        <v>43</v>
      </c>
    </row>
    <row r="43" spans="1:6">
      <c r="A43" s="281">
        <v>6.2</v>
      </c>
      <c r="B43" s="281" t="s">
        <v>1149</v>
      </c>
      <c r="E43" s="281">
        <v>44</v>
      </c>
    </row>
    <row r="44" spans="1:6">
      <c r="A44" s="281">
        <v>6.3</v>
      </c>
      <c r="B44" s="281" t="s">
        <v>1150</v>
      </c>
      <c r="E44" s="281">
        <v>49</v>
      </c>
    </row>
    <row r="45" spans="1:6" ht="12.75">
      <c r="A45" s="281">
        <v>6.4</v>
      </c>
      <c r="B45" s="990" t="s">
        <v>1050</v>
      </c>
      <c r="C45" s="991"/>
      <c r="D45" s="991"/>
      <c r="E45" s="281">
        <v>54</v>
      </c>
    </row>
    <row r="47" spans="1:6" ht="10.5" customHeight="1">
      <c r="A47" s="365" t="s">
        <v>858</v>
      </c>
      <c r="B47" s="366"/>
      <c r="C47" s="366"/>
      <c r="D47" s="366"/>
      <c r="E47" s="366"/>
    </row>
    <row r="48" spans="1:6">
      <c r="A48" s="366">
        <v>7.1</v>
      </c>
      <c r="B48" s="366" t="s">
        <v>1178</v>
      </c>
      <c r="C48" s="366"/>
      <c r="D48" s="366"/>
      <c r="E48" s="366">
        <v>59</v>
      </c>
    </row>
    <row r="49" spans="1:5" ht="10.5" customHeight="1"/>
    <row r="50" spans="1:5" ht="10.5" customHeight="1">
      <c r="A50" s="854" t="s">
        <v>320</v>
      </c>
      <c r="E50" s="281">
        <v>60</v>
      </c>
    </row>
    <row r="51" spans="1:5" ht="12.75">
      <c r="A51" s="282"/>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J25"/>
  <sheetViews>
    <sheetView zoomScaleNormal="100" workbookViewId="0"/>
  </sheetViews>
  <sheetFormatPr defaultRowHeight="12.75"/>
  <cols>
    <col min="1" max="1" width="12.85546875" customWidth="1"/>
    <col min="2" max="2" width="15" customWidth="1"/>
    <col min="3" max="3" width="13.7109375" customWidth="1"/>
    <col min="4" max="4" width="13" customWidth="1"/>
    <col min="5" max="6" width="15" customWidth="1"/>
    <col min="7" max="7" width="20" customWidth="1"/>
    <col min="8" max="8" width="19.140625" customWidth="1"/>
  </cols>
  <sheetData>
    <row r="1" spans="1:10" ht="18">
      <c r="A1" s="838" t="s">
        <v>317</v>
      </c>
      <c r="B1" s="12"/>
      <c r="C1" s="12"/>
      <c r="D1" s="12"/>
      <c r="E1" s="14"/>
      <c r="F1" s="111"/>
      <c r="G1" s="111"/>
      <c r="H1" s="12"/>
    </row>
    <row r="2" spans="1:10" ht="15.75">
      <c r="A2" s="112" t="s">
        <v>205</v>
      </c>
      <c r="B2" s="12"/>
      <c r="C2" s="12"/>
      <c r="D2" s="12"/>
      <c r="E2" s="14"/>
      <c r="F2" s="113"/>
      <c r="G2" s="113"/>
      <c r="H2" s="12"/>
    </row>
    <row r="3" spans="1:10">
      <c r="A3" s="40"/>
      <c r="B3" s="485" t="s">
        <v>939</v>
      </c>
      <c r="C3" s="12"/>
      <c r="D3" s="12"/>
      <c r="E3" s="14"/>
      <c r="F3" s="40"/>
      <c r="G3" s="40"/>
      <c r="H3" s="12"/>
    </row>
    <row r="4" spans="1:10" ht="13.5" thickBot="1">
      <c r="A4" s="462"/>
      <c r="B4" s="12"/>
      <c r="C4" s="12"/>
      <c r="D4" s="12"/>
      <c r="E4" s="14"/>
      <c r="F4" s="114"/>
      <c r="G4" s="114"/>
      <c r="H4" s="12"/>
    </row>
    <row r="5" spans="1:10" ht="13.5" thickTop="1">
      <c r="A5" s="115"/>
      <c r="B5" s="116" t="s">
        <v>206</v>
      </c>
      <c r="C5" s="116" t="s">
        <v>207</v>
      </c>
      <c r="D5" s="117" t="s">
        <v>208</v>
      </c>
      <c r="E5" s="116" t="s">
        <v>209</v>
      </c>
      <c r="F5" s="118" t="s">
        <v>210</v>
      </c>
      <c r="G5" s="118" t="s">
        <v>867</v>
      </c>
      <c r="H5" s="118"/>
    </row>
    <row r="6" spans="1:10">
      <c r="A6" s="119" t="s">
        <v>33</v>
      </c>
      <c r="B6" s="120" t="s">
        <v>211</v>
      </c>
      <c r="C6" s="120" t="s">
        <v>212</v>
      </c>
      <c r="D6" s="122" t="s">
        <v>21</v>
      </c>
      <c r="E6" s="123" t="s">
        <v>21</v>
      </c>
      <c r="F6" s="121" t="s">
        <v>214</v>
      </c>
      <c r="G6" s="121" t="s">
        <v>868</v>
      </c>
      <c r="H6" s="121"/>
    </row>
    <row r="7" spans="1:10">
      <c r="A7" s="124">
        <v>2010</v>
      </c>
      <c r="B7" s="458">
        <v>275338000</v>
      </c>
      <c r="C7" s="459">
        <v>5635000</v>
      </c>
      <c r="D7" s="458">
        <v>5671000</v>
      </c>
      <c r="E7" s="458">
        <v>3618000</v>
      </c>
      <c r="F7" s="459">
        <v>6223000</v>
      </c>
      <c r="G7" s="809" t="s">
        <v>71</v>
      </c>
      <c r="H7" s="809"/>
    </row>
    <row r="8" spans="1:10">
      <c r="A8" s="124">
        <v>2011</v>
      </c>
      <c r="B8" s="125">
        <v>276572000</v>
      </c>
      <c r="C8" s="40">
        <v>6176000</v>
      </c>
      <c r="D8" s="125">
        <v>2713000</v>
      </c>
      <c r="E8" s="125">
        <v>3477000</v>
      </c>
      <c r="F8" s="40">
        <v>5985000</v>
      </c>
      <c r="G8" s="809" t="s">
        <v>71</v>
      </c>
      <c r="H8" s="809"/>
    </row>
    <row r="9" spans="1:10">
      <c r="A9" s="124">
        <v>2012</v>
      </c>
      <c r="B9" s="126">
        <v>307149000</v>
      </c>
      <c r="C9" s="114">
        <v>6254000</v>
      </c>
      <c r="D9" s="114">
        <v>298000</v>
      </c>
      <c r="E9" s="126">
        <v>3676000</v>
      </c>
      <c r="F9" s="114">
        <v>6880000</v>
      </c>
      <c r="G9" s="809" t="s">
        <v>71</v>
      </c>
      <c r="H9" s="809"/>
    </row>
    <row r="10" spans="1:10">
      <c r="A10" s="127">
        <v>2013</v>
      </c>
      <c r="B10" s="126">
        <v>360109000</v>
      </c>
      <c r="C10" s="114">
        <v>6181000</v>
      </c>
      <c r="D10" s="114">
        <v>-268000</v>
      </c>
      <c r="E10" s="126">
        <v>5514000</v>
      </c>
      <c r="F10" s="114">
        <v>7327000</v>
      </c>
      <c r="G10" s="809" t="s">
        <v>71</v>
      </c>
      <c r="H10" s="809"/>
    </row>
    <row r="11" spans="1:10">
      <c r="A11" s="127">
        <v>2014</v>
      </c>
      <c r="B11" s="126">
        <v>296103000</v>
      </c>
      <c r="C11" s="114">
        <v>6425000</v>
      </c>
      <c r="D11" s="114">
        <v>196000</v>
      </c>
      <c r="E11" s="126">
        <v>4222000</v>
      </c>
      <c r="F11" s="114">
        <v>6979000</v>
      </c>
      <c r="G11" s="811">
        <v>320421000</v>
      </c>
      <c r="H11" s="809"/>
    </row>
    <row r="12" spans="1:10">
      <c r="A12" s="127">
        <v>2015</v>
      </c>
      <c r="B12" s="126">
        <v>331713000</v>
      </c>
      <c r="C12" s="114">
        <v>6419000</v>
      </c>
      <c r="D12" s="114">
        <v>98000</v>
      </c>
      <c r="E12" s="126">
        <v>4493000</v>
      </c>
      <c r="F12" s="114">
        <v>7089000</v>
      </c>
      <c r="G12" s="825">
        <v>300641000</v>
      </c>
      <c r="H12" s="809"/>
    </row>
    <row r="13" spans="1:10">
      <c r="A13" s="127">
        <v>2016</v>
      </c>
      <c r="B13" s="126">
        <v>354104000</v>
      </c>
      <c r="C13" s="126">
        <v>6364000</v>
      </c>
      <c r="D13" s="114">
        <v>222000</v>
      </c>
      <c r="E13" s="126">
        <v>4688000</v>
      </c>
      <c r="F13" s="114">
        <v>6538000</v>
      </c>
      <c r="G13" s="825">
        <v>339081000</v>
      </c>
      <c r="H13" s="809"/>
    </row>
    <row r="14" spans="1:10">
      <c r="A14" s="127">
        <v>2017</v>
      </c>
      <c r="B14" s="126">
        <v>378757000</v>
      </c>
      <c r="C14" s="126">
        <v>6521000</v>
      </c>
      <c r="D14" s="114">
        <v>8202000</v>
      </c>
      <c r="E14" s="126">
        <v>3597000</v>
      </c>
      <c r="F14" s="114">
        <v>6346000</v>
      </c>
      <c r="G14" s="825">
        <v>340910000</v>
      </c>
      <c r="H14" s="942"/>
      <c r="I14" s="938"/>
      <c r="J14" s="938"/>
    </row>
    <row r="15" spans="1:10">
      <c r="A15" s="127">
        <v>2018</v>
      </c>
      <c r="B15" s="126">
        <v>380183000</v>
      </c>
      <c r="C15" s="126">
        <v>6415000</v>
      </c>
      <c r="D15" s="114">
        <v>932000</v>
      </c>
      <c r="E15" s="126">
        <v>7365000</v>
      </c>
      <c r="F15" s="114">
        <v>6469000</v>
      </c>
      <c r="G15" s="825">
        <v>337947000</v>
      </c>
      <c r="H15" s="943"/>
      <c r="I15" s="938"/>
      <c r="J15" s="938"/>
    </row>
    <row r="16" spans="1:10">
      <c r="A16" s="127">
        <v>2019</v>
      </c>
      <c r="B16" s="126">
        <v>372107000</v>
      </c>
      <c r="C16" s="126">
        <v>6738000</v>
      </c>
      <c r="D16" s="126">
        <v>191000</v>
      </c>
      <c r="E16" s="126">
        <v>5681000</v>
      </c>
      <c r="F16" s="114">
        <v>6444000</v>
      </c>
      <c r="G16" s="114">
        <v>382018000</v>
      </c>
      <c r="H16" s="944"/>
      <c r="I16" s="938"/>
      <c r="J16" s="938"/>
    </row>
    <row r="17" spans="1:10">
      <c r="A17" s="127">
        <v>2020</v>
      </c>
      <c r="B17" s="126">
        <f>ROUND(39715917.44+-6507.25+-48621.15+487130322.81+-59669923.88,-3)</f>
        <v>467121000</v>
      </c>
      <c r="C17" s="126">
        <f>ROUND(6074046.59+-46849.18+0+560500.22,-3)</f>
        <v>6588000</v>
      </c>
      <c r="D17" s="126">
        <f>ROUND(10996+69278.18,-3)</f>
        <v>80000</v>
      </c>
      <c r="E17" s="126">
        <f>ROUND(6772425.16,-3)</f>
        <v>6772000</v>
      </c>
      <c r="F17" s="114">
        <f>ROUND(5794346.74+726593.281,-3)</f>
        <v>6521000</v>
      </c>
      <c r="G17" s="114">
        <f>ROUND(603081210.21-242492835.9,-3)</f>
        <v>360588000</v>
      </c>
      <c r="H17" s="944"/>
      <c r="I17" s="938"/>
      <c r="J17" s="938"/>
    </row>
    <row r="18" spans="1:10">
      <c r="A18" s="847"/>
      <c r="B18" s="1183"/>
      <c r="C18" s="1183"/>
      <c r="D18" s="937"/>
      <c r="E18" s="937"/>
      <c r="F18" s="937"/>
      <c r="G18" s="937"/>
      <c r="H18" s="939"/>
      <c r="I18" s="938"/>
      <c r="J18" s="938"/>
    </row>
    <row r="19" spans="1:10">
      <c r="A19" s="568" t="s">
        <v>1126</v>
      </c>
      <c r="B19" s="1219"/>
      <c r="C19" s="979"/>
      <c r="D19" s="9"/>
      <c r="E19" s="9"/>
      <c r="F19" s="128"/>
      <c r="G19" s="128"/>
      <c r="H19" s="979"/>
      <c r="I19" s="933" t="s">
        <v>942</v>
      </c>
    </row>
    <row r="20" spans="1:10" ht="79.5" customHeight="1">
      <c r="A20" s="1372" t="s">
        <v>941</v>
      </c>
      <c r="B20" s="1373"/>
      <c r="C20" s="1373"/>
      <c r="D20" s="1373"/>
      <c r="E20" s="1373"/>
      <c r="F20" s="1373"/>
      <c r="G20" s="1373"/>
      <c r="H20" s="1373"/>
    </row>
    <row r="21" spans="1:10" ht="27" customHeight="1">
      <c r="A21" s="1374" t="s">
        <v>215</v>
      </c>
      <c r="B21" s="1374"/>
      <c r="C21" s="1374"/>
      <c r="D21" s="1374"/>
      <c r="E21" s="1374"/>
      <c r="F21" s="1374"/>
      <c r="G21" s="1374"/>
      <c r="H21" s="1374"/>
    </row>
    <row r="22" spans="1:10" ht="63.6" customHeight="1">
      <c r="A22" s="1375" t="s">
        <v>966</v>
      </c>
      <c r="B22" s="1375"/>
      <c r="C22" s="1375"/>
      <c r="D22" s="1375"/>
      <c r="E22" s="1375"/>
      <c r="F22" s="1375"/>
      <c r="G22" s="1375"/>
      <c r="H22" s="1375"/>
    </row>
    <row r="23" spans="1:10" ht="15.75" customHeight="1">
      <c r="A23" s="1370" t="s">
        <v>967</v>
      </c>
      <c r="B23" s="1371"/>
      <c r="C23" s="1371"/>
      <c r="D23" s="1371"/>
      <c r="E23" s="1371"/>
      <c r="F23" s="1371"/>
      <c r="G23" s="1371"/>
      <c r="H23" s="1371"/>
    </row>
    <row r="24" spans="1:10" ht="15.6" customHeight="1">
      <c r="A24" s="1370" t="s">
        <v>968</v>
      </c>
      <c r="B24" s="1371"/>
      <c r="C24" s="1371"/>
      <c r="D24" s="1371"/>
      <c r="E24" s="1371"/>
      <c r="F24" s="1371"/>
      <c r="G24" s="1371"/>
      <c r="H24" s="1371"/>
    </row>
    <row r="25" spans="1:10" ht="78.599999999999994" customHeight="1">
      <c r="A25" s="1369" t="s">
        <v>969</v>
      </c>
      <c r="B25" s="1369"/>
      <c r="C25" s="1369"/>
      <c r="D25" s="1369"/>
      <c r="E25" s="1369"/>
      <c r="F25" s="1369"/>
      <c r="G25" s="1369"/>
      <c r="H25" s="1369"/>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5:H25"/>
    <mergeCell ref="A23:H23"/>
    <mergeCell ref="A24:H24"/>
    <mergeCell ref="A20:H20"/>
    <mergeCell ref="A21:H21"/>
    <mergeCell ref="A22:H22"/>
  </mergeCells>
  <phoneticPr fontId="13" type="noConversion"/>
  <printOptions horizontalCentered="1"/>
  <pageMargins left="0.75" right="0.75" top="0.75" bottom="1" header="0.5" footer="0.5"/>
  <pageSetup scale="91"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51"/>
  <sheetViews>
    <sheetView zoomScaleNormal="100" workbookViewId="0"/>
  </sheetViews>
  <sheetFormatPr defaultRowHeight="12.75"/>
  <cols>
    <col min="1" max="5" width="11.7109375" bestFit="1" customWidth="1"/>
    <col min="6" max="6" width="13.140625" customWidth="1"/>
    <col min="7" max="7" width="14.5703125" customWidth="1"/>
    <col min="8" max="8" width="12.5703125" customWidth="1"/>
    <col min="9" max="9" width="11.5703125" customWidth="1"/>
    <col min="10" max="10" width="11.28515625" customWidth="1"/>
  </cols>
  <sheetData>
    <row r="1" spans="1:9" ht="17.45" customHeight="1">
      <c r="A1" s="839" t="s">
        <v>318</v>
      </c>
      <c r="B1" s="12"/>
      <c r="C1" s="12"/>
      <c r="D1" s="12"/>
      <c r="E1" s="12"/>
      <c r="F1" s="14"/>
      <c r="G1" s="12"/>
      <c r="H1" s="12"/>
    </row>
    <row r="2" spans="1:9" ht="15.6" customHeight="1">
      <c r="A2" s="8" t="s">
        <v>964</v>
      </c>
      <c r="B2" s="12"/>
      <c r="C2" s="12"/>
      <c r="D2" s="12"/>
      <c r="E2" s="12"/>
      <c r="F2" s="14"/>
      <c r="G2" s="12"/>
      <c r="H2" s="12"/>
    </row>
    <row r="3" spans="1:9" ht="15" customHeight="1" thickBot="1">
      <c r="A3" s="487"/>
      <c r="B3" s="578"/>
      <c r="C3" s="12"/>
      <c r="D3" s="12"/>
      <c r="E3" s="12"/>
      <c r="F3" s="12"/>
      <c r="G3" s="14"/>
      <c r="H3" s="14"/>
    </row>
    <row r="4" spans="1:9" ht="15" customHeight="1" thickTop="1">
      <c r="A4" s="115"/>
      <c r="B4" s="118" t="s">
        <v>216</v>
      </c>
      <c r="C4" s="116" t="s">
        <v>217</v>
      </c>
      <c r="D4" s="116" t="s">
        <v>218</v>
      </c>
      <c r="E4" s="116" t="s">
        <v>222</v>
      </c>
      <c r="F4" s="118" t="s">
        <v>219</v>
      </c>
      <c r="G4" s="118" t="s">
        <v>220</v>
      </c>
      <c r="H4" s="115"/>
    </row>
    <row r="5" spans="1:9" ht="15" customHeight="1">
      <c r="A5" s="121" t="s">
        <v>33</v>
      </c>
      <c r="B5" s="121" t="s">
        <v>221</v>
      </c>
      <c r="C5" s="121" t="s">
        <v>213</v>
      </c>
      <c r="D5" s="121" t="s">
        <v>213</v>
      </c>
      <c r="E5" s="894" t="s">
        <v>213</v>
      </c>
      <c r="F5" s="121" t="s">
        <v>21</v>
      </c>
      <c r="G5" s="121" t="s">
        <v>223</v>
      </c>
      <c r="H5" s="121" t="s">
        <v>224</v>
      </c>
    </row>
    <row r="6" spans="1:9" ht="15" customHeight="1">
      <c r="A6" s="124">
        <v>2010</v>
      </c>
      <c r="B6" s="459">
        <v>5107000</v>
      </c>
      <c r="C6" s="459">
        <v>146000</v>
      </c>
      <c r="D6" s="459">
        <v>99000</v>
      </c>
      <c r="E6" s="459">
        <v>549000</v>
      </c>
      <c r="F6" s="808">
        <v>158389000</v>
      </c>
      <c r="G6" s="808">
        <v>17668000</v>
      </c>
      <c r="H6" s="458">
        <v>8309000</v>
      </c>
    </row>
    <row r="7" spans="1:9" ht="15" customHeight="1">
      <c r="A7" s="124">
        <v>2011</v>
      </c>
      <c r="B7" s="40">
        <v>5143000</v>
      </c>
      <c r="C7" s="40">
        <v>151000</v>
      </c>
      <c r="D7" s="40">
        <v>102000</v>
      </c>
      <c r="E7" s="40">
        <v>424000</v>
      </c>
      <c r="F7" s="40">
        <v>155719000</v>
      </c>
      <c r="G7" s="40">
        <v>18012000</v>
      </c>
      <c r="H7" s="125">
        <v>6449000</v>
      </c>
    </row>
    <row r="8" spans="1:9" ht="15" customHeight="1">
      <c r="A8" s="127">
        <v>2012</v>
      </c>
      <c r="B8" s="114">
        <v>3412000</v>
      </c>
      <c r="C8" s="114">
        <v>149000</v>
      </c>
      <c r="D8" s="114">
        <v>172000</v>
      </c>
      <c r="E8" s="114">
        <v>596000</v>
      </c>
      <c r="F8" s="114">
        <v>173911000</v>
      </c>
      <c r="G8" s="114">
        <v>18542000</v>
      </c>
      <c r="H8" s="126">
        <v>4725000</v>
      </c>
    </row>
    <row r="9" spans="1:9" ht="15" customHeight="1">
      <c r="A9" s="127">
        <v>2013</v>
      </c>
      <c r="B9" s="114">
        <v>2544000</v>
      </c>
      <c r="C9" s="114">
        <v>160000</v>
      </c>
      <c r="D9" s="114">
        <v>265000</v>
      </c>
      <c r="E9" s="114">
        <v>895000</v>
      </c>
      <c r="F9" s="114">
        <v>169297000</v>
      </c>
      <c r="G9" s="114">
        <v>18577000</v>
      </c>
      <c r="H9" s="126">
        <v>5753000</v>
      </c>
    </row>
    <row r="10" spans="1:9" ht="15" customHeight="1">
      <c r="A10" s="127">
        <v>2014</v>
      </c>
      <c r="B10" s="114">
        <v>2611000</v>
      </c>
      <c r="C10" s="114">
        <v>152000</v>
      </c>
      <c r="D10" s="114">
        <v>224000</v>
      </c>
      <c r="E10" s="114">
        <v>811000</v>
      </c>
      <c r="F10" s="114">
        <v>161619000</v>
      </c>
      <c r="G10" s="114">
        <v>19007000</v>
      </c>
      <c r="H10" s="126">
        <v>2919000</v>
      </c>
    </row>
    <row r="11" spans="1:9" ht="15" customHeight="1">
      <c r="A11" s="127">
        <v>2015</v>
      </c>
      <c r="B11" s="114">
        <v>2738000</v>
      </c>
      <c r="C11" s="114">
        <v>175000</v>
      </c>
      <c r="D11" s="114">
        <v>289000</v>
      </c>
      <c r="E11" s="114">
        <v>735000</v>
      </c>
      <c r="F11" s="114">
        <v>159856000</v>
      </c>
      <c r="G11" s="114">
        <v>19141000</v>
      </c>
      <c r="H11" s="126">
        <v>5001000</v>
      </c>
    </row>
    <row r="12" spans="1:9" ht="15" customHeight="1">
      <c r="A12" s="127">
        <v>2016</v>
      </c>
      <c r="B12" s="114">
        <v>2871000</v>
      </c>
      <c r="C12" s="114">
        <v>183000</v>
      </c>
      <c r="D12" s="114">
        <v>320000</v>
      </c>
      <c r="E12" s="114">
        <v>1036000</v>
      </c>
      <c r="F12" s="114">
        <v>159286000</v>
      </c>
      <c r="G12" s="114">
        <v>19455000</v>
      </c>
      <c r="H12" s="126">
        <v>6056000</v>
      </c>
      <c r="I12" s="22"/>
    </row>
    <row r="13" spans="1:9" ht="15" customHeight="1">
      <c r="A13" s="127">
        <v>2017</v>
      </c>
      <c r="B13" s="114">
        <v>2769000</v>
      </c>
      <c r="C13" s="114">
        <v>207000</v>
      </c>
      <c r="D13" s="114">
        <v>265000</v>
      </c>
      <c r="E13" s="114">
        <v>1058000</v>
      </c>
      <c r="F13" s="114">
        <v>151117000</v>
      </c>
      <c r="G13" s="114">
        <v>20081000</v>
      </c>
      <c r="H13" s="126">
        <v>4273000</v>
      </c>
      <c r="I13" s="22"/>
    </row>
    <row r="14" spans="1:9" ht="15" customHeight="1">
      <c r="A14" s="127">
        <v>2018</v>
      </c>
      <c r="B14" s="114">
        <v>2795000</v>
      </c>
      <c r="C14" s="114">
        <v>201000</v>
      </c>
      <c r="D14" s="114">
        <v>357000</v>
      </c>
      <c r="E14" s="114">
        <v>1159000</v>
      </c>
      <c r="F14" s="114">
        <v>139202000</v>
      </c>
      <c r="G14" s="114">
        <v>21181000</v>
      </c>
      <c r="H14" s="126">
        <v>12015000</v>
      </c>
      <c r="I14" s="22"/>
    </row>
    <row r="15" spans="1:9" ht="15" customHeight="1">
      <c r="A15" s="127">
        <v>2019</v>
      </c>
      <c r="B15" s="114">
        <v>3060000</v>
      </c>
      <c r="C15" s="114">
        <v>205000</v>
      </c>
      <c r="D15" s="114">
        <v>309000</v>
      </c>
      <c r="E15" s="126">
        <v>1050000</v>
      </c>
      <c r="F15" s="114">
        <v>129451000</v>
      </c>
      <c r="G15" s="114">
        <v>21838000</v>
      </c>
      <c r="H15" s="126">
        <v>12577000</v>
      </c>
      <c r="I15" s="22"/>
    </row>
    <row r="16" spans="1:9" ht="15" customHeight="1">
      <c r="A16" s="127">
        <v>2020</v>
      </c>
      <c r="B16" s="126">
        <f>ROUND(3214035.05+0,-3)</f>
        <v>3214000</v>
      </c>
      <c r="C16" s="820">
        <f>ROUND(207801.87+0,-3)</f>
        <v>208000</v>
      </c>
      <c r="D16" s="820">
        <f>ROUND(365532.86,-3)</f>
        <v>366000</v>
      </c>
      <c r="E16" s="820">
        <f>ROUND(934707.14+0,-3)</f>
        <v>935000</v>
      </c>
      <c r="F16" s="820">
        <f>ROUND(131950330.82,-3)</f>
        <v>131950000</v>
      </c>
      <c r="G16" s="820">
        <f>ROUND(21687544.8,-3)</f>
        <v>21688000</v>
      </c>
      <c r="H16" s="820">
        <f>ROUND(7557161.83+0,-3)</f>
        <v>7557000</v>
      </c>
      <c r="I16" s="1204" t="s">
        <v>1158</v>
      </c>
    </row>
    <row r="17" spans="1:10" ht="9" customHeight="1">
      <c r="A17" s="826"/>
      <c r="B17" s="1205">
        <f>B16/B15-1</f>
        <v>5.0326797385620958E-2</v>
      </c>
      <c r="C17" s="1205">
        <f t="shared" ref="C17:H17" si="0">C16/C15-1</f>
        <v>1.4634146341463428E-2</v>
      </c>
      <c r="D17" s="1205">
        <f t="shared" si="0"/>
        <v>0.18446601941747565</v>
      </c>
      <c r="E17" s="1205">
        <f t="shared" si="0"/>
        <v>-0.10952380952380958</v>
      </c>
      <c r="F17" s="1205">
        <f t="shared" si="0"/>
        <v>1.9304601741199301E-2</v>
      </c>
      <c r="G17" s="1205">
        <f t="shared" si="0"/>
        <v>-6.8687608755380047E-3</v>
      </c>
      <c r="H17" s="1205">
        <f t="shared" si="0"/>
        <v>-0.39914128965572071</v>
      </c>
      <c r="I17" s="938"/>
    </row>
    <row r="18" spans="1:10" s="130" customFormat="1" ht="13.15" customHeight="1">
      <c r="A18" s="12" t="s">
        <v>1127</v>
      </c>
      <c r="B18" s="939"/>
      <c r="C18" s="1219"/>
      <c r="D18" s="939"/>
      <c r="E18" s="939"/>
      <c r="F18" s="939"/>
      <c r="G18" s="939"/>
      <c r="H18" s="939"/>
      <c r="I18" s="938"/>
    </row>
    <row r="19" spans="1:10" s="130" customFormat="1" ht="38.450000000000003" customHeight="1">
      <c r="A19" s="1311" t="s">
        <v>1144</v>
      </c>
      <c r="B19" s="1378"/>
      <c r="C19" s="1378"/>
      <c r="D19" s="1378"/>
      <c r="E19" s="1378"/>
      <c r="F19" s="1378"/>
      <c r="G19" s="1378"/>
      <c r="H19" s="1378"/>
      <c r="I19" s="1316"/>
      <c r="J19" s="1316"/>
    </row>
    <row r="20" spans="1:10" s="130" customFormat="1" ht="27.75" customHeight="1">
      <c r="A20" s="1379" t="s">
        <v>225</v>
      </c>
      <c r="B20" s="1378"/>
      <c r="C20" s="1378"/>
      <c r="D20" s="1378"/>
      <c r="E20" s="1378"/>
      <c r="F20" s="1378"/>
      <c r="G20" s="1378"/>
      <c r="H20" s="1378"/>
      <c r="I20" s="1316"/>
      <c r="J20" s="1316"/>
    </row>
    <row r="21" spans="1:10" s="130" customFormat="1" ht="25.5" customHeight="1">
      <c r="A21" s="1379" t="s">
        <v>1201</v>
      </c>
      <c r="B21" s="1378"/>
      <c r="C21" s="1378"/>
      <c r="D21" s="1378"/>
      <c r="E21" s="1378"/>
      <c r="F21" s="1378"/>
      <c r="G21" s="1378"/>
      <c r="H21" s="1378"/>
      <c r="I21" s="1316"/>
      <c r="J21" s="1316"/>
    </row>
    <row r="22" spans="1:10" s="130" customFormat="1" ht="27" customHeight="1">
      <c r="A22" s="1379" t="s">
        <v>226</v>
      </c>
      <c r="B22" s="1378"/>
      <c r="C22" s="1378"/>
      <c r="D22" s="1378"/>
      <c r="E22" s="1378"/>
      <c r="F22" s="1378"/>
      <c r="G22" s="1378"/>
      <c r="H22" s="1378"/>
      <c r="I22" s="1316"/>
      <c r="J22" s="1316"/>
    </row>
    <row r="23" spans="1:10" s="130" customFormat="1" ht="39.75" customHeight="1">
      <c r="A23" s="1380" t="s">
        <v>1143</v>
      </c>
      <c r="B23" s="1381"/>
      <c r="C23" s="1381"/>
      <c r="D23" s="1381"/>
      <c r="E23" s="1381"/>
      <c r="F23" s="1381"/>
      <c r="G23" s="1381"/>
      <c r="H23" s="1381"/>
      <c r="I23" s="1316"/>
      <c r="J23" s="1316"/>
    </row>
    <row r="24" spans="1:10" s="130" customFormat="1" ht="39.75" customHeight="1">
      <c r="A24" s="1379" t="s">
        <v>1142</v>
      </c>
      <c r="B24" s="1378"/>
      <c r="C24" s="1378"/>
      <c r="D24" s="1378"/>
      <c r="E24" s="1378"/>
      <c r="F24" s="1378"/>
      <c r="G24" s="1378"/>
      <c r="H24" s="1378"/>
      <c r="I24" s="1316"/>
      <c r="J24" s="1316"/>
    </row>
    <row r="25" spans="1:10" s="130" customFormat="1" ht="27" customHeight="1">
      <c r="A25" s="1379" t="s">
        <v>965</v>
      </c>
      <c r="B25" s="1378"/>
      <c r="C25" s="1378"/>
      <c r="D25" s="1378"/>
      <c r="E25" s="1378"/>
      <c r="F25" s="1378"/>
      <c r="G25" s="1378"/>
      <c r="H25" s="1378"/>
      <c r="I25" s="1316"/>
      <c r="J25" s="1316"/>
    </row>
    <row r="26" spans="1:10" ht="18">
      <c r="A26" s="129" t="s">
        <v>319</v>
      </c>
      <c r="B26" s="12"/>
      <c r="C26" s="12"/>
      <c r="D26" s="12"/>
      <c r="E26" s="12"/>
      <c r="F26" s="14"/>
      <c r="G26" s="12"/>
      <c r="H26" s="12"/>
    </row>
    <row r="27" spans="1:10" ht="15.75">
      <c r="A27" s="8" t="s">
        <v>895</v>
      </c>
      <c r="B27" s="12"/>
      <c r="C27" s="12"/>
      <c r="D27" s="12"/>
      <c r="E27" s="12"/>
      <c r="F27" s="14"/>
      <c r="G27" s="12"/>
      <c r="H27" s="12"/>
    </row>
    <row r="28" spans="1:10" ht="13.5" thickBot="1">
      <c r="A28" s="487"/>
      <c r="B28" s="12"/>
      <c r="C28" s="12"/>
      <c r="D28" s="12"/>
      <c r="E28" s="12"/>
      <c r="F28" s="12"/>
      <c r="G28" s="14"/>
      <c r="H28" s="14"/>
    </row>
    <row r="29" spans="1:10" ht="13.5" thickTop="1">
      <c r="A29" s="115"/>
      <c r="B29" s="118" t="s">
        <v>301</v>
      </c>
      <c r="C29" s="118" t="s">
        <v>332</v>
      </c>
      <c r="D29" s="118" t="s">
        <v>302</v>
      </c>
      <c r="E29" s="118" t="s">
        <v>303</v>
      </c>
      <c r="F29" s="118" t="s">
        <v>304</v>
      </c>
      <c r="G29" s="118" t="s">
        <v>305</v>
      </c>
      <c r="H29" s="118" t="s">
        <v>333</v>
      </c>
      <c r="I29" s="118" t="s">
        <v>331</v>
      </c>
    </row>
    <row r="30" spans="1:10">
      <c r="A30" s="121" t="s">
        <v>33</v>
      </c>
      <c r="B30" s="121" t="s">
        <v>21</v>
      </c>
      <c r="C30" s="121" t="s">
        <v>21</v>
      </c>
      <c r="D30" s="121" t="s">
        <v>306</v>
      </c>
      <c r="E30" s="121" t="s">
        <v>223</v>
      </c>
      <c r="F30" s="121" t="s">
        <v>213</v>
      </c>
      <c r="G30" s="121" t="s">
        <v>21</v>
      </c>
      <c r="H30" s="121" t="s">
        <v>21</v>
      </c>
      <c r="I30" s="121" t="s">
        <v>21</v>
      </c>
    </row>
    <row r="31" spans="1:10">
      <c r="A31" s="124">
        <v>2010</v>
      </c>
      <c r="B31" s="459">
        <v>287000</v>
      </c>
      <c r="C31" s="459">
        <v>117000</v>
      </c>
      <c r="D31" s="459">
        <v>272000</v>
      </c>
      <c r="E31" s="459">
        <v>1875000</v>
      </c>
      <c r="F31" s="459">
        <v>200000</v>
      </c>
      <c r="G31" s="459">
        <v>994000</v>
      </c>
      <c r="H31" s="459">
        <v>11000</v>
      </c>
      <c r="I31" s="808">
        <v>115000</v>
      </c>
    </row>
    <row r="32" spans="1:10">
      <c r="A32" s="124">
        <v>2011</v>
      </c>
      <c r="B32" s="40">
        <v>240000</v>
      </c>
      <c r="C32" s="40">
        <v>103000</v>
      </c>
      <c r="D32" s="40">
        <v>192000</v>
      </c>
      <c r="E32" s="40">
        <v>1849000</v>
      </c>
      <c r="F32" s="40">
        <v>174000</v>
      </c>
      <c r="G32" s="40">
        <v>888000</v>
      </c>
      <c r="H32" s="40">
        <v>9000</v>
      </c>
      <c r="I32" s="1182">
        <v>94000</v>
      </c>
      <c r="J32" s="337"/>
    </row>
    <row r="33" spans="1:11">
      <c r="A33" s="127">
        <v>2012</v>
      </c>
      <c r="B33" s="114">
        <v>301000</v>
      </c>
      <c r="C33" s="114">
        <v>131000</v>
      </c>
      <c r="D33" s="114">
        <v>537000</v>
      </c>
      <c r="E33" s="114">
        <v>1837000</v>
      </c>
      <c r="F33" s="114">
        <v>191000</v>
      </c>
      <c r="G33" s="114">
        <v>931000</v>
      </c>
      <c r="H33" s="114">
        <v>8000</v>
      </c>
      <c r="I33" s="1182">
        <v>123000</v>
      </c>
      <c r="J33" s="337"/>
    </row>
    <row r="34" spans="1:11">
      <c r="A34" s="127">
        <v>2013</v>
      </c>
      <c r="B34" s="114">
        <v>291000</v>
      </c>
      <c r="C34" s="114">
        <v>168000</v>
      </c>
      <c r="D34" s="114">
        <v>500000</v>
      </c>
      <c r="E34" s="114">
        <v>2036000</v>
      </c>
      <c r="F34" s="114">
        <v>194000</v>
      </c>
      <c r="G34" s="114">
        <v>844000</v>
      </c>
      <c r="H34" s="114">
        <v>9000</v>
      </c>
      <c r="I34" s="114">
        <v>93000</v>
      </c>
      <c r="J34" s="337"/>
    </row>
    <row r="35" spans="1:11">
      <c r="A35" s="127">
        <v>2014</v>
      </c>
      <c r="B35" s="114">
        <v>401000</v>
      </c>
      <c r="C35" s="114">
        <v>129000</v>
      </c>
      <c r="D35" s="114">
        <v>516000</v>
      </c>
      <c r="E35" s="114">
        <v>2166000</v>
      </c>
      <c r="F35" s="114">
        <v>210000</v>
      </c>
      <c r="G35" s="114">
        <v>888000</v>
      </c>
      <c r="H35" s="114">
        <v>11000</v>
      </c>
      <c r="I35" s="114">
        <v>170000</v>
      </c>
      <c r="J35" s="337"/>
    </row>
    <row r="36" spans="1:11">
      <c r="A36" s="127">
        <v>2015</v>
      </c>
      <c r="B36" s="126">
        <v>375000</v>
      </c>
      <c r="C36" s="114">
        <v>192000</v>
      </c>
      <c r="D36" s="114">
        <v>439000</v>
      </c>
      <c r="E36" s="114">
        <v>2385000</v>
      </c>
      <c r="F36" s="114">
        <v>213000</v>
      </c>
      <c r="G36" s="114">
        <v>927000</v>
      </c>
      <c r="H36" s="114">
        <v>11000</v>
      </c>
      <c r="I36" s="114">
        <v>125000</v>
      </c>
      <c r="J36" s="337"/>
    </row>
    <row r="37" spans="1:11">
      <c r="A37" s="127">
        <v>2016</v>
      </c>
      <c r="B37" s="126">
        <v>401000</v>
      </c>
      <c r="C37" s="114">
        <v>126000</v>
      </c>
      <c r="D37" s="114">
        <v>291000</v>
      </c>
      <c r="E37" s="126">
        <v>2221000</v>
      </c>
      <c r="F37" s="114">
        <v>219000</v>
      </c>
      <c r="G37" s="114">
        <v>906000</v>
      </c>
      <c r="H37" s="114">
        <v>11000</v>
      </c>
      <c r="I37" s="126">
        <v>116000</v>
      </c>
      <c r="J37" s="337"/>
      <c r="K37" s="130"/>
    </row>
    <row r="38" spans="1:11">
      <c r="A38" s="127">
        <v>2017</v>
      </c>
      <c r="B38" s="126">
        <v>451000</v>
      </c>
      <c r="C38" s="114">
        <v>88000</v>
      </c>
      <c r="D38" s="114">
        <v>167000</v>
      </c>
      <c r="E38" s="126">
        <v>2583000</v>
      </c>
      <c r="F38" s="114">
        <v>174000</v>
      </c>
      <c r="G38" s="114">
        <v>1004000</v>
      </c>
      <c r="H38" s="114">
        <v>12000</v>
      </c>
      <c r="I38" s="126">
        <v>99000</v>
      </c>
      <c r="J38" s="337"/>
    </row>
    <row r="39" spans="1:11">
      <c r="A39" s="127">
        <v>2018</v>
      </c>
      <c r="B39" s="126">
        <v>395000</v>
      </c>
      <c r="C39" s="114">
        <v>173000</v>
      </c>
      <c r="D39" s="126">
        <v>173000</v>
      </c>
      <c r="E39" s="126">
        <v>2695000</v>
      </c>
      <c r="F39" s="114">
        <v>169000</v>
      </c>
      <c r="G39" s="114">
        <v>1109000</v>
      </c>
      <c r="H39" s="114">
        <v>12000</v>
      </c>
      <c r="I39" s="126">
        <v>121000</v>
      </c>
      <c r="J39" s="337"/>
    </row>
    <row r="40" spans="1:11">
      <c r="A40" s="127">
        <v>2019</v>
      </c>
      <c r="B40" s="126">
        <v>398000</v>
      </c>
      <c r="C40" s="114">
        <v>178000</v>
      </c>
      <c r="D40" s="126">
        <v>179000</v>
      </c>
      <c r="E40" s="126">
        <v>2604000</v>
      </c>
      <c r="F40" s="114">
        <v>175000</v>
      </c>
      <c r="G40" s="114">
        <v>664000</v>
      </c>
      <c r="H40" s="114">
        <v>12000</v>
      </c>
      <c r="I40" s="126">
        <v>90000</v>
      </c>
      <c r="J40" s="337"/>
    </row>
    <row r="41" spans="1:11">
      <c r="A41" s="127">
        <v>2020</v>
      </c>
      <c r="B41" s="126">
        <f>ROUND(460022.04+0,-3)</f>
        <v>460000</v>
      </c>
      <c r="C41" s="820">
        <f>ROUND(218257.13,-3)</f>
        <v>218000</v>
      </c>
      <c r="D41" s="126">
        <f>ROUND(142617.3+0,-3)</f>
        <v>143000</v>
      </c>
      <c r="E41" s="126">
        <f>ROUND(1840522.66+614428.88, -3)</f>
        <v>2455000</v>
      </c>
      <c r="F41" s="126">
        <f>ROUND(216842.49+0,-3)</f>
        <v>217000</v>
      </c>
      <c r="G41" s="126">
        <f>ROUND(878294.38+0,-3)</f>
        <v>878000</v>
      </c>
      <c r="H41" s="126">
        <f>ROUND(12296.11+0,-3)</f>
        <v>12000</v>
      </c>
      <c r="I41" s="126">
        <f>ROUND(87968.28,-3)</f>
        <v>88000</v>
      </c>
      <c r="J41" s="1204" t="s">
        <v>1158</v>
      </c>
    </row>
    <row r="42" spans="1:11">
      <c r="A42" s="22"/>
      <c r="B42" s="1205">
        <f>B41/B40-1</f>
        <v>0.15577889447236171</v>
      </c>
      <c r="C42" s="1205">
        <f t="shared" ref="C42" si="1">C41/C40-1</f>
        <v>0.22471910112359561</v>
      </c>
      <c r="D42" s="1205">
        <f t="shared" ref="D42" si="2">D41/D40-1</f>
        <v>-0.2011173184357542</v>
      </c>
      <c r="E42" s="1205">
        <f t="shared" ref="E42" si="3">E41/E40-1</f>
        <v>-5.7219662058371701E-2</v>
      </c>
      <c r="F42" s="1205">
        <f t="shared" ref="F42" si="4">F41/F40-1</f>
        <v>0.24</v>
      </c>
      <c r="G42" s="1205">
        <f t="shared" ref="G42" si="5">G41/G40-1</f>
        <v>0.32228915662650603</v>
      </c>
      <c r="H42" s="1205">
        <f t="shared" ref="H42:I42" si="6">H41/H40-1</f>
        <v>0</v>
      </c>
      <c r="I42" s="1205">
        <f t="shared" si="6"/>
        <v>-2.2222222222222254E-2</v>
      </c>
      <c r="J42" s="941"/>
      <c r="K42" s="938"/>
    </row>
    <row r="43" spans="1:11">
      <c r="A43" s="130" t="s">
        <v>1128</v>
      </c>
      <c r="B43" s="940"/>
      <c r="C43" s="1219"/>
      <c r="D43" s="938"/>
      <c r="E43" s="938"/>
      <c r="F43" s="938"/>
      <c r="G43" s="938"/>
      <c r="H43" s="938"/>
      <c r="I43" s="938"/>
      <c r="J43" s="847"/>
      <c r="K43" s="938"/>
    </row>
    <row r="44" spans="1:11" ht="15.75" customHeight="1">
      <c r="A44" s="1376" t="s">
        <v>307</v>
      </c>
      <c r="B44" s="1376"/>
      <c r="C44" s="1376"/>
      <c r="D44" s="1376"/>
      <c r="E44" s="1376"/>
      <c r="F44" s="1376"/>
      <c r="G44" s="1376"/>
      <c r="H44" s="1376"/>
      <c r="I44" s="1377"/>
      <c r="J44" s="1316"/>
      <c r="K44" s="938"/>
    </row>
    <row r="45" spans="1:11" ht="27.75" customHeight="1">
      <c r="A45" s="1378" t="s">
        <v>963</v>
      </c>
      <c r="B45" s="1376"/>
      <c r="C45" s="1376"/>
      <c r="D45" s="1376"/>
      <c r="E45" s="1376"/>
      <c r="F45" s="1376"/>
      <c r="G45" s="1376"/>
      <c r="H45" s="1376"/>
      <c r="I45" s="1377"/>
      <c r="J45" s="1316"/>
    </row>
    <row r="46" spans="1:11" ht="28.5" customHeight="1">
      <c r="A46" s="1376" t="s">
        <v>308</v>
      </c>
      <c r="B46" s="1376"/>
      <c r="C46" s="1376"/>
      <c r="D46" s="1376"/>
      <c r="E46" s="1376"/>
      <c r="F46" s="1376"/>
      <c r="G46" s="1376"/>
      <c r="H46" s="1376"/>
      <c r="I46" s="1377"/>
      <c r="J46" s="1316"/>
    </row>
    <row r="47" spans="1:11" ht="28.5" customHeight="1">
      <c r="A47" s="1376" t="s">
        <v>309</v>
      </c>
      <c r="B47" s="1376"/>
      <c r="C47" s="1376"/>
      <c r="D47" s="1376"/>
      <c r="E47" s="1376"/>
      <c r="F47" s="1376"/>
      <c r="G47" s="1376"/>
      <c r="H47" s="1376"/>
      <c r="I47" s="1377"/>
      <c r="J47" s="1316"/>
    </row>
    <row r="48" spans="1:11" ht="28.5" customHeight="1">
      <c r="A48" s="1376" t="s">
        <v>310</v>
      </c>
      <c r="B48" s="1376"/>
      <c r="C48" s="1376"/>
      <c r="D48" s="1376"/>
      <c r="E48" s="1376"/>
      <c r="F48" s="1376"/>
      <c r="G48" s="1376"/>
      <c r="H48" s="1376"/>
      <c r="I48" s="1377"/>
      <c r="J48" s="1316"/>
    </row>
    <row r="49" spans="1:10" ht="28.5" customHeight="1">
      <c r="A49" s="1376" t="s">
        <v>311</v>
      </c>
      <c r="B49" s="1376"/>
      <c r="C49" s="1376"/>
      <c r="D49" s="1376"/>
      <c r="E49" s="1376"/>
      <c r="F49" s="1376"/>
      <c r="G49" s="1376"/>
      <c r="H49" s="1376"/>
      <c r="I49" s="1377"/>
      <c r="J49" s="1316"/>
    </row>
    <row r="50" spans="1:10" ht="28.5" customHeight="1">
      <c r="A50" s="1376" t="s">
        <v>312</v>
      </c>
      <c r="B50" s="1376"/>
      <c r="C50" s="1376"/>
      <c r="D50" s="1376"/>
      <c r="E50" s="1376"/>
      <c r="F50" s="1376"/>
      <c r="G50" s="1376"/>
      <c r="H50" s="1376"/>
      <c r="I50" s="1377"/>
      <c r="J50" s="1316"/>
    </row>
    <row r="51" spans="1:10" ht="28.5" customHeight="1">
      <c r="A51" s="1378" t="s">
        <v>313</v>
      </c>
      <c r="B51" s="1378"/>
      <c r="C51" s="1378"/>
      <c r="D51" s="1378"/>
      <c r="E51" s="1378"/>
      <c r="F51" s="1378"/>
      <c r="G51" s="1378"/>
      <c r="H51" s="1378"/>
      <c r="I51" s="1378"/>
      <c r="J51" s="1316"/>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48:J48"/>
    <mergeCell ref="A49:J49"/>
    <mergeCell ref="A50:J50"/>
    <mergeCell ref="A51:J51"/>
    <mergeCell ref="A19:J19"/>
    <mergeCell ref="A20:J20"/>
    <mergeCell ref="A21:J21"/>
    <mergeCell ref="A44:J44"/>
    <mergeCell ref="A47:J47"/>
    <mergeCell ref="A22:J22"/>
    <mergeCell ref="A24:J24"/>
    <mergeCell ref="A25:J25"/>
    <mergeCell ref="A45:J45"/>
    <mergeCell ref="A46:J46"/>
    <mergeCell ref="A23:J23"/>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3"/>
  <sheetViews>
    <sheetView zoomScaleNormal="100" workbookViewId="0"/>
  </sheetViews>
  <sheetFormatPr defaultColWidth="9.28515625" defaultRowHeight="12.75"/>
  <cols>
    <col min="1" max="1" width="26" style="855" customWidth="1"/>
    <col min="2" max="2" width="29.85546875" style="855" customWidth="1"/>
    <col min="3" max="3" width="22.140625" style="855" customWidth="1"/>
    <col min="4" max="4" width="18.7109375" style="855" bestFit="1" customWidth="1"/>
    <col min="5" max="5" width="19.140625" style="855" bestFit="1" customWidth="1"/>
    <col min="6" max="6" width="20.140625" style="855" bestFit="1" customWidth="1"/>
    <col min="7" max="16384" width="9.28515625" style="855"/>
  </cols>
  <sheetData>
    <row r="1" spans="1:7" ht="18">
      <c r="A1" s="835" t="s">
        <v>360</v>
      </c>
      <c r="B1" s="835"/>
      <c r="C1" s="835"/>
    </row>
    <row r="2" spans="1:7" ht="15.75">
      <c r="A2" s="856" t="s">
        <v>1159</v>
      </c>
      <c r="B2" s="856"/>
      <c r="C2" s="856"/>
    </row>
    <row r="4" spans="1:7">
      <c r="A4" s="161"/>
      <c r="B4" s="161"/>
      <c r="C4" s="161"/>
      <c r="D4" s="162" t="s">
        <v>361</v>
      </c>
      <c r="E4" s="162" t="s">
        <v>362</v>
      </c>
      <c r="F4" s="162" t="s">
        <v>17</v>
      </c>
    </row>
    <row r="5" spans="1:7">
      <c r="A5" s="163" t="s">
        <v>363</v>
      </c>
      <c r="B5" s="163"/>
      <c r="C5" s="163"/>
      <c r="D5" s="164">
        <v>334180106940.96002</v>
      </c>
      <c r="E5" s="165">
        <v>755327000373</v>
      </c>
      <c r="F5" s="164">
        <f>SUM(D5:E5)</f>
        <v>1089507107313.96</v>
      </c>
    </row>
    <row r="6" spans="1:7">
      <c r="A6" s="891" t="s">
        <v>957</v>
      </c>
      <c r="B6" s="166"/>
      <c r="C6" s="166"/>
      <c r="D6" s="167">
        <v>9491376730.0200005</v>
      </c>
      <c r="E6" s="168">
        <v>13538601411</v>
      </c>
      <c r="F6" s="167">
        <f>D6+E6</f>
        <v>23029978141.02</v>
      </c>
    </row>
    <row r="7" spans="1:7">
      <c r="A7" s="166" t="s">
        <v>364</v>
      </c>
      <c r="B7" s="166"/>
      <c r="C7" s="166"/>
      <c r="D7" s="167">
        <v>-1015868583</v>
      </c>
      <c r="E7" s="168">
        <v>0</v>
      </c>
      <c r="F7" s="167">
        <f t="shared" ref="F7:F14" si="0">D7+E7</f>
        <v>-1015868583</v>
      </c>
      <c r="G7" s="857"/>
    </row>
    <row r="8" spans="1:7">
      <c r="A8" s="163" t="s">
        <v>365</v>
      </c>
      <c r="B8" s="163"/>
      <c r="C8" s="163"/>
      <c r="D8" s="167">
        <v>16547114114.530001</v>
      </c>
      <c r="E8" s="168">
        <v>25979903773</v>
      </c>
      <c r="F8" s="167">
        <f t="shared" si="0"/>
        <v>42527017887.529999</v>
      </c>
    </row>
    <row r="9" spans="1:7">
      <c r="A9" s="855" t="s">
        <v>366</v>
      </c>
      <c r="D9" s="167">
        <v>169448101691</v>
      </c>
      <c r="E9" s="168">
        <v>295726225601</v>
      </c>
      <c r="F9" s="167">
        <f t="shared" si="0"/>
        <v>465174327292</v>
      </c>
    </row>
    <row r="10" spans="1:7">
      <c r="A10" s="855" t="s">
        <v>367</v>
      </c>
      <c r="D10" s="167">
        <v>39625806283</v>
      </c>
      <c r="E10" s="168">
        <v>131909511106</v>
      </c>
      <c r="F10" s="167">
        <f>D10+E10</f>
        <v>171535317389</v>
      </c>
    </row>
    <row r="11" spans="1:7">
      <c r="A11" s="892" t="s">
        <v>958</v>
      </c>
      <c r="B11" s="163"/>
      <c r="C11" s="163"/>
      <c r="D11" s="168"/>
      <c r="E11" s="168">
        <v>1028000000</v>
      </c>
      <c r="F11" s="167">
        <v>1028000000</v>
      </c>
    </row>
    <row r="12" spans="1:7">
      <c r="A12" s="892" t="s">
        <v>959</v>
      </c>
      <c r="B12" s="163"/>
      <c r="C12" s="163"/>
      <c r="D12" s="167">
        <v>117034592999.45001</v>
      </c>
      <c r="E12" s="167">
        <v>314221961304</v>
      </c>
      <c r="F12" s="167">
        <v>431256554303.45001</v>
      </c>
    </row>
    <row r="13" spans="1:7">
      <c r="A13" s="163" t="s">
        <v>368</v>
      </c>
      <c r="B13" s="163"/>
      <c r="C13" s="163"/>
      <c r="D13" s="167">
        <v>9473041726.4748459</v>
      </c>
      <c r="E13" s="168">
        <v>13181463116.803833</v>
      </c>
      <c r="F13" s="167">
        <f t="shared" si="0"/>
        <v>22654504843.278679</v>
      </c>
    </row>
    <row r="14" spans="1:7">
      <c r="A14" s="163" t="s">
        <v>369</v>
      </c>
      <c r="B14" s="163"/>
      <c r="C14" s="163"/>
      <c r="D14" s="167">
        <v>1920988508</v>
      </c>
      <c r="E14" s="858">
        <v>1850189139</v>
      </c>
      <c r="F14" s="167">
        <f t="shared" si="0"/>
        <v>3771177647</v>
      </c>
    </row>
    <row r="15" spans="1:7">
      <c r="A15" s="163" t="s">
        <v>370</v>
      </c>
      <c r="B15" s="163"/>
      <c r="C15" s="163"/>
      <c r="D15" s="167">
        <v>28551006</v>
      </c>
      <c r="E15" s="858">
        <v>1240702918</v>
      </c>
      <c r="F15" s="567">
        <f>D15+E15</f>
        <v>1269253924</v>
      </c>
    </row>
    <row r="16" spans="1:7">
      <c r="A16" s="169" t="s">
        <v>371</v>
      </c>
      <c r="B16" s="169"/>
      <c r="C16" s="169"/>
      <c r="D16" s="170">
        <f>D13-D14-D15</f>
        <v>7523502212.4748459</v>
      </c>
      <c r="E16" s="170">
        <f>E13-E14-E15</f>
        <v>10090571059.803833</v>
      </c>
      <c r="F16" s="171">
        <f>SUM(D16:E16)</f>
        <v>17614073272.278679</v>
      </c>
    </row>
    <row r="17" spans="1:7">
      <c r="A17" s="163"/>
      <c r="B17" s="163"/>
      <c r="C17" s="163"/>
      <c r="D17" s="172"/>
      <c r="E17" s="165"/>
      <c r="F17" s="164"/>
    </row>
    <row r="18" spans="1:7">
      <c r="A18" s="173"/>
      <c r="B18" s="173"/>
      <c r="C18" s="173"/>
      <c r="D18" s="164"/>
      <c r="E18" s="165"/>
      <c r="F18" s="164"/>
    </row>
    <row r="19" spans="1:7">
      <c r="A19" s="163" t="s">
        <v>53</v>
      </c>
      <c r="B19" s="163"/>
      <c r="C19" s="163"/>
      <c r="D19" s="164">
        <v>58295335.684748426</v>
      </c>
      <c r="E19" s="859">
        <v>85879849.70896031</v>
      </c>
      <c r="F19" s="164">
        <f>D19+E19</f>
        <v>144175185.39370874</v>
      </c>
    </row>
    <row r="20" spans="1:7">
      <c r="A20" s="163" t="s">
        <v>372</v>
      </c>
      <c r="B20" s="163"/>
      <c r="C20" s="163"/>
      <c r="D20" s="167">
        <v>46636268.547798753</v>
      </c>
      <c r="E20" s="167">
        <v>68703879.767168269</v>
      </c>
      <c r="F20" s="167">
        <f>D20+E20</f>
        <v>115340148.31496702</v>
      </c>
    </row>
    <row r="21" spans="1:7">
      <c r="A21" s="173" t="s">
        <v>373</v>
      </c>
      <c r="B21" s="163"/>
      <c r="C21" s="163"/>
      <c r="D21" s="167"/>
      <c r="E21" s="167"/>
      <c r="F21" s="167"/>
    </row>
    <row r="22" spans="1:7">
      <c r="A22" s="892" t="s">
        <v>926</v>
      </c>
      <c r="B22" s="163"/>
      <c r="C22" s="163"/>
      <c r="D22" s="167">
        <v>9150</v>
      </c>
      <c r="E22" s="167">
        <v>222168</v>
      </c>
      <c r="F22" s="167">
        <f>D22+E22</f>
        <v>231318</v>
      </c>
    </row>
    <row r="23" spans="1:7">
      <c r="A23" s="892" t="s">
        <v>960</v>
      </c>
      <c r="B23" s="163"/>
      <c r="C23" s="163"/>
      <c r="D23" s="167">
        <v>0</v>
      </c>
      <c r="E23" s="167">
        <v>0</v>
      </c>
      <c r="F23" s="167">
        <f t="shared" ref="F23:F27" si="1">D23+E23</f>
        <v>0</v>
      </c>
    </row>
    <row r="24" spans="1:7">
      <c r="A24" s="855" t="s">
        <v>374</v>
      </c>
      <c r="D24" s="351">
        <v>1638000</v>
      </c>
      <c r="E24" s="167">
        <v>66500</v>
      </c>
      <c r="F24" s="167">
        <f t="shared" si="1"/>
        <v>1704500</v>
      </c>
      <c r="G24" s="857"/>
    </row>
    <row r="25" spans="1:7">
      <c r="A25" s="855" t="s">
        <v>316</v>
      </c>
      <c r="D25" s="351">
        <v>387877</v>
      </c>
      <c r="E25" s="860">
        <v>562281</v>
      </c>
      <c r="F25" s="167">
        <f>D25+E25</f>
        <v>950158</v>
      </c>
    </row>
    <row r="26" spans="1:7">
      <c r="A26" s="893" t="s">
        <v>961</v>
      </c>
      <c r="D26" s="351">
        <v>0</v>
      </c>
      <c r="E26" s="167">
        <v>0</v>
      </c>
      <c r="F26" s="167">
        <f t="shared" si="1"/>
        <v>0</v>
      </c>
    </row>
    <row r="27" spans="1:7">
      <c r="A27" s="893" t="s">
        <v>962</v>
      </c>
      <c r="D27" s="351">
        <v>0</v>
      </c>
      <c r="E27" s="167">
        <v>0</v>
      </c>
      <c r="F27" s="167">
        <f t="shared" si="1"/>
        <v>0</v>
      </c>
    </row>
    <row r="28" spans="1:7">
      <c r="A28" s="855" t="s">
        <v>923</v>
      </c>
      <c r="D28" s="351">
        <v>0</v>
      </c>
      <c r="E28" s="167">
        <v>0</v>
      </c>
      <c r="F28" s="167">
        <f>D28+E28</f>
        <v>0</v>
      </c>
      <c r="G28" s="1111"/>
    </row>
    <row r="29" spans="1:7">
      <c r="A29" s="861" t="s">
        <v>375</v>
      </c>
      <c r="B29" s="861"/>
      <c r="C29" s="861"/>
      <c r="D29" s="442">
        <f>D19-D20-D22-D23-D24-D25-D26-D27-D28</f>
        <v>9624040.1369496733</v>
      </c>
      <c r="E29" s="442">
        <f>E19-E20-E22-E23-E24-E25-E26-E27-E28</f>
        <v>16325020.941792041</v>
      </c>
      <c r="F29" s="174">
        <f>SUM(D29:E29)</f>
        <v>25949061.078741714</v>
      </c>
    </row>
    <row r="32" spans="1:7" ht="18">
      <c r="A32" s="862" t="s">
        <v>376</v>
      </c>
      <c r="B32" s="862"/>
      <c r="C32" s="862"/>
      <c r="D32" s="863"/>
      <c r="E32" s="863"/>
      <c r="F32" s="864"/>
      <c r="G32" s="864"/>
    </row>
    <row r="33" spans="1:7" ht="15.75">
      <c r="A33" s="865" t="s">
        <v>377</v>
      </c>
      <c r="B33" s="865"/>
      <c r="C33" s="865"/>
      <c r="D33" s="866"/>
      <c r="E33" s="866"/>
      <c r="F33" s="864"/>
      <c r="G33" s="864"/>
    </row>
    <row r="34" spans="1:7" ht="13.5" thickBot="1">
      <c r="A34" s="867"/>
      <c r="B34" s="867"/>
      <c r="C34" s="867"/>
      <c r="D34" s="866"/>
      <c r="E34" s="866"/>
      <c r="F34" s="864"/>
      <c r="G34" s="864"/>
    </row>
    <row r="35" spans="1:7">
      <c r="A35" s="868"/>
      <c r="B35" s="868"/>
      <c r="C35" s="869"/>
      <c r="D35" s="870"/>
      <c r="E35" s="869"/>
      <c r="F35" s="864"/>
      <c r="G35" s="864"/>
    </row>
    <row r="36" spans="1:7">
      <c r="A36" s="871" t="s">
        <v>33</v>
      </c>
      <c r="B36" s="872" t="s">
        <v>378</v>
      </c>
      <c r="C36" s="873"/>
      <c r="D36" s="874"/>
      <c r="E36" s="873"/>
      <c r="F36" s="864"/>
      <c r="G36" s="864"/>
    </row>
    <row r="37" spans="1:7">
      <c r="A37" s="875">
        <v>2016</v>
      </c>
      <c r="B37" s="876">
        <v>21142000</v>
      </c>
      <c r="C37" s="875"/>
      <c r="E37" s="877"/>
      <c r="F37" s="864"/>
      <c r="G37" s="864"/>
    </row>
    <row r="38" spans="1:7">
      <c r="A38" s="875">
        <v>2017</v>
      </c>
      <c r="B38" s="878">
        <v>23068000</v>
      </c>
      <c r="C38" s="875"/>
      <c r="E38" s="877"/>
      <c r="F38" s="864"/>
      <c r="G38" s="864"/>
    </row>
    <row r="39" spans="1:7">
      <c r="A39" s="875">
        <v>2018</v>
      </c>
      <c r="B39" s="879">
        <v>23724800</v>
      </c>
      <c r="C39" s="875"/>
      <c r="E39" s="877"/>
      <c r="F39" s="864"/>
      <c r="G39" s="864"/>
    </row>
    <row r="40" spans="1:7">
      <c r="A40" s="875">
        <v>2019</v>
      </c>
      <c r="B40" s="879">
        <v>29641360</v>
      </c>
      <c r="C40" s="864"/>
      <c r="D40" s="864"/>
      <c r="E40" s="864"/>
      <c r="F40" s="864"/>
      <c r="G40" s="864"/>
    </row>
    <row r="41" spans="1:7">
      <c r="A41" s="875">
        <v>2020</v>
      </c>
      <c r="B41" s="879">
        <f>ROUND(25949061.0787417,-1)</f>
        <v>25949060</v>
      </c>
      <c r="C41" s="864"/>
      <c r="D41" s="864"/>
      <c r="E41" s="864"/>
      <c r="F41" s="864"/>
      <c r="G41" s="864"/>
    </row>
    <row r="42" spans="1:7">
      <c r="B42" s="1298">
        <f>B41/B40-1</f>
        <v>-0.1245658093960601</v>
      </c>
      <c r="C42" s="864"/>
      <c r="D42" s="864"/>
      <c r="E42" s="864"/>
      <c r="F42" s="864"/>
      <c r="G42" s="864"/>
    </row>
    <row r="43" spans="1:7">
      <c r="B43" s="945"/>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99"/>
  <sheetViews>
    <sheetView zoomScaleNormal="100" workbookViewId="0"/>
  </sheetViews>
  <sheetFormatPr defaultColWidth="11.28515625" defaultRowHeight="12.75"/>
  <cols>
    <col min="1" max="1" width="22.85546875" style="199" customWidth="1"/>
    <col min="2" max="5" width="15.7109375" style="199" customWidth="1"/>
    <col min="6" max="6" width="15.7109375" style="361" customWidth="1"/>
    <col min="7" max="7" width="12.28515625" style="199" bestFit="1" customWidth="1"/>
    <col min="8" max="8" width="14.140625" style="199" bestFit="1" customWidth="1"/>
    <col min="9" max="16384" width="11.28515625" style="199"/>
  </cols>
  <sheetData>
    <row r="1" spans="1:7" s="758" customFormat="1" ht="17.45" customHeight="1">
      <c r="A1" s="757" t="s">
        <v>694</v>
      </c>
      <c r="B1" s="757"/>
      <c r="C1" s="757"/>
      <c r="D1" s="757"/>
      <c r="F1" s="759"/>
    </row>
    <row r="2" spans="1:7" s="758" customFormat="1" ht="15.6" customHeight="1">
      <c r="A2" s="760" t="s">
        <v>1008</v>
      </c>
      <c r="B2" s="760"/>
      <c r="C2" s="760"/>
      <c r="D2" s="760"/>
      <c r="F2" s="759"/>
    </row>
    <row r="3" spans="1:7" s="758" customFormat="1" ht="13.5" thickBot="1">
      <c r="A3" s="724"/>
      <c r="B3" s="761"/>
      <c r="C3" s="761"/>
      <c r="D3" s="761"/>
      <c r="F3" s="759"/>
    </row>
    <row r="4" spans="1:7" ht="15" customHeight="1" thickTop="1">
      <c r="A4" s="762"/>
      <c r="B4" s="763" t="s">
        <v>33</v>
      </c>
      <c r="C4" s="764" t="s">
        <v>33</v>
      </c>
      <c r="D4" s="764" t="s">
        <v>33</v>
      </c>
      <c r="E4" s="764" t="s">
        <v>33</v>
      </c>
      <c r="F4" s="764" t="s">
        <v>33</v>
      </c>
    </row>
    <row r="5" spans="1:7" ht="13.15" customHeight="1">
      <c r="A5" s="765" t="s">
        <v>23</v>
      </c>
      <c r="B5" s="766">
        <v>2016</v>
      </c>
      <c r="C5" s="767">
        <v>2017</v>
      </c>
      <c r="D5" s="767">
        <v>2018</v>
      </c>
      <c r="E5" s="767">
        <v>2019</v>
      </c>
      <c r="F5" s="767">
        <v>2020</v>
      </c>
    </row>
    <row r="6" spans="1:7" s="771" customFormat="1" ht="10.7" customHeight="1">
      <c r="A6" s="768"/>
      <c r="B6" s="769"/>
      <c r="C6" s="769"/>
      <c r="D6" s="770"/>
      <c r="E6" s="770"/>
      <c r="F6" s="770"/>
    </row>
    <row r="7" spans="1:7" ht="13.15" customHeight="1">
      <c r="A7" s="772" t="s">
        <v>78</v>
      </c>
      <c r="B7" s="773">
        <v>831479.45</v>
      </c>
      <c r="C7" s="773">
        <v>936339.46999999962</v>
      </c>
      <c r="D7" s="361">
        <v>916004.78999999992</v>
      </c>
      <c r="E7" s="361">
        <v>1023735.09</v>
      </c>
      <c r="F7" s="361">
        <v>1085444.9900000002</v>
      </c>
    </row>
    <row r="8" spans="1:7">
      <c r="A8" s="197" t="s">
        <v>80</v>
      </c>
      <c r="B8" s="198">
        <v>5661987.8499999996</v>
      </c>
      <c r="C8" s="198">
        <v>7023475.7599999998</v>
      </c>
      <c r="D8" s="359">
        <v>7310466.5799999982</v>
      </c>
      <c r="E8" s="359">
        <v>6783830.5199999996</v>
      </c>
      <c r="F8" s="359">
        <v>7677069.2299999986</v>
      </c>
    </row>
    <row r="9" spans="1:7">
      <c r="A9" s="197" t="s">
        <v>82</v>
      </c>
      <c r="B9" s="198">
        <v>208395.54</v>
      </c>
      <c r="C9" s="198">
        <v>215503.89000000007</v>
      </c>
      <c r="D9" s="359">
        <v>184885.83</v>
      </c>
      <c r="E9" s="359">
        <v>203069.11</v>
      </c>
      <c r="F9" s="359">
        <v>291456.63</v>
      </c>
    </row>
    <row r="10" spans="1:7">
      <c r="A10" s="197" t="s">
        <v>84</v>
      </c>
      <c r="B10" s="198">
        <v>328832.78999999998</v>
      </c>
      <c r="C10" s="198">
        <v>319416.68999999994</v>
      </c>
      <c r="D10" s="359">
        <v>343579.66000000003</v>
      </c>
      <c r="E10" s="359">
        <v>365922.63</v>
      </c>
      <c r="F10" s="359">
        <v>410504.98999999993</v>
      </c>
    </row>
    <row r="11" spans="1:7">
      <c r="A11" s="197" t="s">
        <v>86</v>
      </c>
      <c r="B11" s="198">
        <v>531758.03</v>
      </c>
      <c r="C11" s="198">
        <v>613571.77</v>
      </c>
      <c r="D11" s="359">
        <v>608204.8600000001</v>
      </c>
      <c r="E11" s="359">
        <v>604215.96</v>
      </c>
      <c r="F11" s="359">
        <v>777235.10999999964</v>
      </c>
    </row>
    <row r="12" spans="1:7" ht="10.7" customHeight="1">
      <c r="A12" s="197"/>
      <c r="B12" s="198"/>
      <c r="C12" s="198"/>
      <c r="D12" s="359"/>
      <c r="E12" s="359"/>
      <c r="F12" s="359"/>
    </row>
    <row r="13" spans="1:7">
      <c r="A13" s="197" t="s">
        <v>88</v>
      </c>
      <c r="B13" s="198">
        <v>322942.42</v>
      </c>
      <c r="C13" s="198">
        <v>271536.62</v>
      </c>
      <c r="D13" s="359">
        <v>329293.32999999996</v>
      </c>
      <c r="E13" s="359">
        <v>312322.24</v>
      </c>
      <c r="F13" s="359">
        <v>428932.31999999989</v>
      </c>
    </row>
    <row r="14" spans="1:7">
      <c r="A14" s="197" t="s">
        <v>90</v>
      </c>
      <c r="B14" s="198">
        <v>21478308.510000005</v>
      </c>
      <c r="C14" s="198">
        <v>23803234.229999993</v>
      </c>
      <c r="D14" s="359">
        <v>21160588.409999996</v>
      </c>
      <c r="E14" s="359">
        <v>20140024.699999999</v>
      </c>
      <c r="F14" s="359">
        <v>22966291.539999992</v>
      </c>
    </row>
    <row r="15" spans="1:7">
      <c r="A15" s="197" t="s">
        <v>92</v>
      </c>
      <c r="B15" s="198">
        <v>1949753.3000000007</v>
      </c>
      <c r="C15" s="198">
        <v>2058250.6</v>
      </c>
      <c r="D15" s="359">
        <v>2055632.9099999992</v>
      </c>
      <c r="E15" s="359">
        <v>2172761</v>
      </c>
      <c r="F15" s="359">
        <v>2555788.8899999997</v>
      </c>
    </row>
    <row r="16" spans="1:7">
      <c r="A16" s="197" t="s">
        <v>94</v>
      </c>
      <c r="B16" s="198">
        <v>101603.80000000002</v>
      </c>
      <c r="C16" s="198">
        <v>106982.51000000001</v>
      </c>
      <c r="D16" s="359">
        <v>1219904.4300000002</v>
      </c>
      <c r="E16" s="359">
        <v>114319.87</v>
      </c>
      <c r="F16" s="1126">
        <v>99799.599999999991</v>
      </c>
      <c r="G16" s="360"/>
    </row>
    <row r="17" spans="1:8">
      <c r="A17" s="774" t="s">
        <v>458</v>
      </c>
      <c r="B17" s="198">
        <v>2843846.6799999988</v>
      </c>
      <c r="C17" s="198">
        <v>2872650.33</v>
      </c>
      <c r="D17" s="359">
        <v>2970564.3899999978</v>
      </c>
      <c r="E17" s="359">
        <v>2831336.91</v>
      </c>
      <c r="F17" s="521">
        <v>3621182.8</v>
      </c>
    </row>
    <row r="18" spans="1:8" ht="10.7" customHeight="1">
      <c r="A18" s="197"/>
      <c r="B18" s="198"/>
      <c r="C18" s="198"/>
      <c r="D18" s="359"/>
      <c r="E18" s="359"/>
      <c r="F18" s="359"/>
    </row>
    <row r="19" spans="1:8">
      <c r="A19" s="197" t="s">
        <v>97</v>
      </c>
      <c r="B19" s="198">
        <v>78500.430000000008</v>
      </c>
      <c r="C19" s="198">
        <v>84150.73000000001</v>
      </c>
      <c r="D19" s="359">
        <v>71337.399999999994</v>
      </c>
      <c r="E19" s="359">
        <v>76614.27</v>
      </c>
      <c r="F19" s="359">
        <v>69992.200000000012</v>
      </c>
    </row>
    <row r="20" spans="1:8">
      <c r="A20" s="197" t="s">
        <v>99</v>
      </c>
      <c r="B20" s="198">
        <v>993600.6100000001</v>
      </c>
      <c r="C20" s="198">
        <v>1155290.2599999993</v>
      </c>
      <c r="D20" s="359">
        <v>1198286.6199999996</v>
      </c>
      <c r="E20" s="359">
        <v>1237799.42</v>
      </c>
      <c r="F20" s="359">
        <v>1384786.9600000004</v>
      </c>
    </row>
    <row r="21" spans="1:8">
      <c r="A21" s="197" t="s">
        <v>101</v>
      </c>
      <c r="B21" s="198">
        <v>181178.00999999995</v>
      </c>
      <c r="C21" s="198">
        <v>219097.33000000002</v>
      </c>
      <c r="D21" s="359">
        <v>568169.97</v>
      </c>
      <c r="E21" s="359">
        <v>238211.51</v>
      </c>
      <c r="F21" s="359">
        <v>338735.82</v>
      </c>
      <c r="G21" s="360"/>
    </row>
    <row r="22" spans="1:8">
      <c r="A22" s="197" t="s">
        <v>103</v>
      </c>
      <c r="B22" s="198">
        <v>342363.61</v>
      </c>
      <c r="C22" s="198">
        <v>110529.48000000001</v>
      </c>
      <c r="D22" s="359">
        <v>142705.30999999997</v>
      </c>
      <c r="E22" s="359">
        <v>211318.05</v>
      </c>
      <c r="F22" s="889">
        <v>221787.02999999997</v>
      </c>
      <c r="G22" s="364"/>
      <c r="H22" s="363"/>
    </row>
    <row r="23" spans="1:8">
      <c r="A23" s="197" t="s">
        <v>105</v>
      </c>
      <c r="B23" s="198">
        <v>193135.81000000003</v>
      </c>
      <c r="C23" s="198">
        <v>238957.97999999995</v>
      </c>
      <c r="D23" s="359">
        <v>276950.32000000007</v>
      </c>
      <c r="E23" s="359">
        <v>262685.05</v>
      </c>
      <c r="F23" s="521">
        <v>360367.95999999996</v>
      </c>
      <c r="H23" s="775"/>
    </row>
    <row r="24" spans="1:8" ht="10.7" customHeight="1">
      <c r="A24" s="197"/>
      <c r="B24" s="198"/>
      <c r="C24" s="198"/>
      <c r="D24" s="359"/>
      <c r="E24" s="359"/>
      <c r="F24" s="359"/>
    </row>
    <row r="25" spans="1:8">
      <c r="A25" s="197" t="s">
        <v>107</v>
      </c>
      <c r="B25" s="198">
        <v>1115839.1399999997</v>
      </c>
      <c r="C25" s="198">
        <v>1271165.4499999997</v>
      </c>
      <c r="D25" s="359">
        <v>1075193.4499999997</v>
      </c>
      <c r="E25" s="359">
        <v>1193786.6399999999</v>
      </c>
      <c r="F25" s="359">
        <v>1599313.3999999992</v>
      </c>
      <c r="H25" s="363"/>
    </row>
    <row r="26" spans="1:8">
      <c r="A26" s="197" t="s">
        <v>109</v>
      </c>
      <c r="B26" s="198">
        <v>894974.04000000015</v>
      </c>
      <c r="C26" s="198">
        <v>1152437.0399999998</v>
      </c>
      <c r="D26" s="359">
        <v>1002241.3700000002</v>
      </c>
      <c r="E26" s="359">
        <v>1027898.34</v>
      </c>
      <c r="F26" s="359">
        <v>1286025.810000001</v>
      </c>
    </row>
    <row r="27" spans="1:8">
      <c r="A27" s="197" t="s">
        <v>111</v>
      </c>
      <c r="B27" s="198">
        <v>406986.58000000007</v>
      </c>
      <c r="C27" s="198">
        <v>462427.2900000001</v>
      </c>
      <c r="D27" s="359">
        <v>513755.00999999983</v>
      </c>
      <c r="E27" s="359">
        <v>504441.19</v>
      </c>
      <c r="F27" s="359">
        <v>563956.03999999992</v>
      </c>
    </row>
    <row r="28" spans="1:8">
      <c r="A28" s="197" t="s">
        <v>113</v>
      </c>
      <c r="B28" s="198">
        <v>131366.42000000001</v>
      </c>
      <c r="C28" s="198">
        <v>123237.38999999998</v>
      </c>
      <c r="D28" s="359">
        <v>173996.02</v>
      </c>
      <c r="E28" s="359">
        <v>178512.76</v>
      </c>
      <c r="F28" s="359">
        <v>225086.27</v>
      </c>
    </row>
    <row r="29" spans="1:8">
      <c r="A29" s="197" t="s">
        <v>115</v>
      </c>
      <c r="B29" s="198">
        <v>138211.43</v>
      </c>
      <c r="C29" s="198">
        <v>171113.94999999998</v>
      </c>
      <c r="D29" s="359">
        <v>174388.63</v>
      </c>
      <c r="E29" s="359">
        <v>180717.68</v>
      </c>
      <c r="F29" s="359">
        <v>222549.5</v>
      </c>
    </row>
    <row r="30" spans="1:8" ht="10.7" customHeight="1">
      <c r="A30" s="197"/>
      <c r="B30" s="198"/>
      <c r="C30" s="198"/>
      <c r="D30" s="359"/>
      <c r="E30" s="359"/>
      <c r="F30" s="359"/>
    </row>
    <row r="31" spans="1:8">
      <c r="A31" s="197" t="s">
        <v>117</v>
      </c>
      <c r="B31" s="198">
        <v>15255284.43</v>
      </c>
      <c r="C31" s="198">
        <v>15675316.740000002</v>
      </c>
      <c r="D31" s="359">
        <v>17478977.450000003</v>
      </c>
      <c r="E31" s="359">
        <v>18302320.93</v>
      </c>
      <c r="F31" s="359">
        <v>21225125.040000003</v>
      </c>
    </row>
    <row r="32" spans="1:8">
      <c r="A32" s="197" t="s">
        <v>119</v>
      </c>
      <c r="B32" s="198">
        <v>779400.52999999991</v>
      </c>
      <c r="C32" s="198">
        <v>826078.84000000008</v>
      </c>
      <c r="D32" s="359">
        <v>679722.70999999973</v>
      </c>
      <c r="E32" s="359">
        <v>757346.96</v>
      </c>
      <c r="F32" s="359">
        <v>882197.54999999993</v>
      </c>
    </row>
    <row r="33" spans="1:6">
      <c r="A33" s="197" t="s">
        <v>121</v>
      </c>
      <c r="B33" s="198">
        <v>96579.410000000018</v>
      </c>
      <c r="C33" s="198">
        <v>106269.67999999998</v>
      </c>
      <c r="D33" s="359">
        <v>105853.02</v>
      </c>
      <c r="E33" s="359">
        <v>117564.11</v>
      </c>
      <c r="F33" s="359">
        <v>99354.15</v>
      </c>
    </row>
    <row r="34" spans="1:6">
      <c r="A34" s="197" t="s">
        <v>123</v>
      </c>
      <c r="B34" s="198">
        <v>2014069.2299999995</v>
      </c>
      <c r="C34" s="198">
        <v>2317757.7499999986</v>
      </c>
      <c r="D34" s="359">
        <v>2101620.0999999996</v>
      </c>
      <c r="E34" s="359">
        <v>2219808.7000000002</v>
      </c>
      <c r="F34" s="359">
        <v>2676410.46</v>
      </c>
    </row>
    <row r="35" spans="1:6">
      <c r="A35" s="197" t="s">
        <v>125</v>
      </c>
      <c r="B35" s="198">
        <v>186153.71000000002</v>
      </c>
      <c r="C35" s="198">
        <v>171445.14999999994</v>
      </c>
      <c r="D35" s="359">
        <v>186255.38999999998</v>
      </c>
      <c r="E35" s="359">
        <v>229777.33</v>
      </c>
      <c r="F35" s="359">
        <v>302178.89</v>
      </c>
    </row>
    <row r="36" spans="1:6" ht="10.7" customHeight="1">
      <c r="A36" s="197"/>
      <c r="B36" s="198"/>
      <c r="C36" s="198"/>
      <c r="D36" s="359"/>
      <c r="E36" s="359"/>
      <c r="F36" s="359"/>
    </row>
    <row r="37" spans="1:6">
      <c r="A37" s="197" t="s">
        <v>127</v>
      </c>
      <c r="B37" s="198">
        <v>411986.24</v>
      </c>
      <c r="C37" s="198">
        <v>422394.58999999997</v>
      </c>
      <c r="D37" s="359">
        <v>188804.97</v>
      </c>
      <c r="E37" s="359">
        <v>76371.22</v>
      </c>
      <c r="F37" s="359">
        <v>562230.54</v>
      </c>
    </row>
    <row r="38" spans="1:6">
      <c r="A38" s="197" t="s">
        <v>129</v>
      </c>
      <c r="B38" s="198">
        <v>497116.1</v>
      </c>
      <c r="C38" s="198">
        <v>545299.42999999993</v>
      </c>
      <c r="D38" s="359">
        <v>592965.0199999999</v>
      </c>
      <c r="E38" s="359">
        <v>736016.09</v>
      </c>
      <c r="F38" s="359">
        <v>907140.01999999979</v>
      </c>
    </row>
    <row r="39" spans="1:6">
      <c r="A39" s="197" t="s">
        <v>131</v>
      </c>
      <c r="B39" s="198">
        <v>257344.80000000005</v>
      </c>
      <c r="C39" s="198">
        <v>305796.11</v>
      </c>
      <c r="D39" s="359">
        <v>269412.54000000004</v>
      </c>
      <c r="E39" s="359">
        <v>360528.14</v>
      </c>
      <c r="F39" s="359">
        <v>345444.18</v>
      </c>
    </row>
    <row r="40" spans="1:6">
      <c r="A40" s="197" t="s">
        <v>133</v>
      </c>
      <c r="B40" s="198">
        <v>82816460.370000005</v>
      </c>
      <c r="C40" s="198">
        <v>87579692.859999955</v>
      </c>
      <c r="D40" s="359">
        <v>85641787.530000046</v>
      </c>
      <c r="E40" s="359">
        <v>82100501.609999999</v>
      </c>
      <c r="F40" s="359">
        <v>106314702.31000006</v>
      </c>
    </row>
    <row r="41" spans="1:6">
      <c r="A41" s="197" t="s">
        <v>135</v>
      </c>
      <c r="B41" s="198">
        <v>4480666.07</v>
      </c>
      <c r="C41" s="198">
        <v>4614537.6300000008</v>
      </c>
      <c r="D41" s="359">
        <v>4763659.9399999995</v>
      </c>
      <c r="E41" s="359">
        <v>4622955.63</v>
      </c>
      <c r="F41" s="359">
        <v>6240755.6200000048</v>
      </c>
    </row>
    <row r="42" spans="1:6" ht="18">
      <c r="A42" s="1382" t="s">
        <v>695</v>
      </c>
      <c r="B42" s="1382"/>
      <c r="C42" s="1382"/>
      <c r="D42" s="1382"/>
    </row>
    <row r="43" spans="1:6" ht="15.75">
      <c r="A43" s="880" t="str">
        <f>A2</f>
        <v xml:space="preserve">Recordation Tax and Deeds of Conveyance Revenue Collections by Locality </v>
      </c>
      <c r="B43" s="880"/>
      <c r="C43" s="880"/>
      <c r="D43" s="880"/>
      <c r="E43" s="901"/>
      <c r="F43" s="902"/>
    </row>
    <row r="44" spans="1:6" ht="13.5" thickBot="1">
      <c r="A44" s="776"/>
      <c r="B44" s="776"/>
      <c r="C44" s="776"/>
      <c r="D44" s="776"/>
    </row>
    <row r="45" spans="1:6" ht="15" customHeight="1" thickTop="1">
      <c r="A45" s="762"/>
      <c r="B45" s="763" t="s">
        <v>33</v>
      </c>
      <c r="C45" s="763" t="s">
        <v>33</v>
      </c>
      <c r="D45" s="763" t="s">
        <v>33</v>
      </c>
      <c r="E45" s="763" t="s">
        <v>33</v>
      </c>
      <c r="F45" s="763" t="s">
        <v>33</v>
      </c>
    </row>
    <row r="46" spans="1:6">
      <c r="A46" s="765" t="s">
        <v>23</v>
      </c>
      <c r="B46" s="766">
        <f>B5</f>
        <v>2016</v>
      </c>
      <c r="C46" s="766">
        <f t="shared" ref="C46:E46" si="0">C5</f>
        <v>2017</v>
      </c>
      <c r="D46" s="766">
        <f t="shared" si="0"/>
        <v>2018</v>
      </c>
      <c r="E46" s="766">
        <f t="shared" si="0"/>
        <v>2019</v>
      </c>
      <c r="F46" s="766">
        <f>F5</f>
        <v>2020</v>
      </c>
    </row>
    <row r="47" spans="1:6" s="771" customFormat="1" ht="10.7" customHeight="1">
      <c r="A47" s="768"/>
      <c r="B47" s="777"/>
      <c r="C47" s="770"/>
      <c r="D47" s="770"/>
      <c r="E47" s="770"/>
      <c r="F47" s="770"/>
    </row>
    <row r="48" spans="1:6">
      <c r="A48" s="197" t="s">
        <v>137</v>
      </c>
      <c r="B48" s="361">
        <v>291708.7699999999</v>
      </c>
      <c r="C48" s="361">
        <v>307361.02</v>
      </c>
      <c r="D48" s="361">
        <v>300158.71000000002</v>
      </c>
      <c r="E48" s="361">
        <v>350741.73</v>
      </c>
      <c r="F48" s="361">
        <v>391111.7300000001</v>
      </c>
    </row>
    <row r="49" spans="1:6">
      <c r="A49" s="197" t="s">
        <v>139</v>
      </c>
      <c r="B49" s="359">
        <v>792201.35000000009</v>
      </c>
      <c r="C49" s="359">
        <v>949367.05000000016</v>
      </c>
      <c r="D49" s="359">
        <v>971906.0899999995</v>
      </c>
      <c r="E49" s="359">
        <v>851679.42</v>
      </c>
      <c r="F49" s="359">
        <v>1166850.2100000002</v>
      </c>
    </row>
    <row r="50" spans="1:6">
      <c r="A50" s="197" t="s">
        <v>26</v>
      </c>
      <c r="B50" s="359">
        <v>1583804.9000000004</v>
      </c>
      <c r="C50" s="359">
        <v>1819747.07</v>
      </c>
      <c r="D50" s="359">
        <v>1805767.9500000007</v>
      </c>
      <c r="E50" s="359">
        <v>1802646.31</v>
      </c>
      <c r="F50" s="359">
        <v>2343146.6399999992</v>
      </c>
    </row>
    <row r="51" spans="1:6">
      <c r="A51" s="197" t="s">
        <v>142</v>
      </c>
      <c r="B51" s="359">
        <v>3882647.4300000011</v>
      </c>
      <c r="C51" s="359">
        <v>4368271.0599999987</v>
      </c>
      <c r="D51" s="359">
        <v>4827371.0199999986</v>
      </c>
      <c r="E51" s="359">
        <v>4966022.1500000004</v>
      </c>
      <c r="F51" s="359">
        <v>5458785.2600000007</v>
      </c>
    </row>
    <row r="52" spans="1:6">
      <c r="A52" s="197" t="s">
        <v>144</v>
      </c>
      <c r="B52" s="359">
        <v>225468.76000000004</v>
      </c>
      <c r="C52" s="359">
        <v>235697.59</v>
      </c>
      <c r="D52" s="359">
        <v>260573.52000000002</v>
      </c>
      <c r="E52" s="359">
        <v>255777.01</v>
      </c>
      <c r="F52" s="359">
        <v>297823.99999999988</v>
      </c>
    </row>
    <row r="53" spans="1:6" ht="10.7" customHeight="1">
      <c r="A53" s="197"/>
      <c r="B53" s="359"/>
      <c r="C53" s="359"/>
      <c r="D53" s="359"/>
      <c r="E53" s="359"/>
      <c r="F53" s="359"/>
    </row>
    <row r="54" spans="1:6">
      <c r="A54" s="197" t="s">
        <v>537</v>
      </c>
      <c r="B54" s="359">
        <v>1296975.0400000003</v>
      </c>
      <c r="C54" s="359">
        <v>1490107.8099999996</v>
      </c>
      <c r="D54" s="359">
        <v>1442470.3499999996</v>
      </c>
      <c r="E54" s="359">
        <v>1295330.24</v>
      </c>
      <c r="F54" s="359">
        <v>1641573.1400000008</v>
      </c>
    </row>
    <row r="55" spans="1:6">
      <c r="A55" s="197" t="s">
        <v>539</v>
      </c>
      <c r="B55" s="359">
        <v>1333510.4199999997</v>
      </c>
      <c r="C55" s="359">
        <v>1548904.6099999994</v>
      </c>
      <c r="D55" s="359">
        <v>1473017.6400000001</v>
      </c>
      <c r="E55" s="359">
        <v>1721265.8</v>
      </c>
      <c r="F55" s="359">
        <v>2498348.4599999995</v>
      </c>
    </row>
    <row r="56" spans="1:6">
      <c r="A56" s="197" t="s">
        <v>541</v>
      </c>
      <c r="B56" s="359">
        <v>266107.12999999995</v>
      </c>
      <c r="C56" s="359">
        <v>280190.96999999997</v>
      </c>
      <c r="D56" s="359">
        <v>309879.81</v>
      </c>
      <c r="E56" s="359">
        <v>319890.40000000002</v>
      </c>
      <c r="F56" s="359">
        <v>363379.93999999994</v>
      </c>
    </row>
    <row r="57" spans="1:6">
      <c r="A57" s="197" t="s">
        <v>85</v>
      </c>
      <c r="B57" s="359">
        <v>638654.9299999997</v>
      </c>
      <c r="C57" s="359">
        <v>621946.43999999971</v>
      </c>
      <c r="D57" s="359">
        <v>665860.2100000002</v>
      </c>
      <c r="E57" s="359">
        <v>815346.86</v>
      </c>
      <c r="F57" s="359">
        <v>919761.93999999971</v>
      </c>
    </row>
    <row r="58" spans="1:6">
      <c r="A58" s="197" t="s">
        <v>547</v>
      </c>
      <c r="B58" s="359">
        <v>113649.53000000001</v>
      </c>
      <c r="C58" s="359">
        <v>94248.069999999978</v>
      </c>
      <c r="D58" s="359">
        <v>168236.08000000005</v>
      </c>
      <c r="E58" s="359">
        <v>95004.58</v>
      </c>
      <c r="F58" s="359">
        <v>101834.98000000004</v>
      </c>
    </row>
    <row r="59" spans="1:6" ht="10.7" customHeight="1">
      <c r="B59" s="359"/>
      <c r="C59" s="359"/>
      <c r="D59" s="359"/>
      <c r="E59" s="359"/>
      <c r="F59" s="359"/>
    </row>
    <row r="60" spans="1:6" s="778" customFormat="1">
      <c r="A60" s="772" t="s">
        <v>696</v>
      </c>
      <c r="B60" s="359">
        <v>430010.4599999999</v>
      </c>
      <c r="C60" s="359">
        <v>544527.53</v>
      </c>
      <c r="D60" s="359">
        <v>513838.62999999983</v>
      </c>
      <c r="E60" s="359">
        <v>420193.85</v>
      </c>
      <c r="F60" s="359">
        <v>554097.90999999992</v>
      </c>
    </row>
    <row r="61" spans="1:6" s="778" customFormat="1">
      <c r="A61" s="197" t="s">
        <v>91</v>
      </c>
      <c r="B61" s="359">
        <v>5149754.4699999988</v>
      </c>
      <c r="C61" s="359">
        <v>5113772.7299999995</v>
      </c>
      <c r="D61" s="359">
        <v>5228012.49</v>
      </c>
      <c r="E61" s="359">
        <v>5400252.2999999998</v>
      </c>
      <c r="F61" s="359">
        <v>6739040.0000000075</v>
      </c>
    </row>
    <row r="62" spans="1:6" s="778" customFormat="1">
      <c r="A62" s="197" t="s">
        <v>93</v>
      </c>
      <c r="B62" s="359">
        <v>14617093.960000001</v>
      </c>
      <c r="C62" s="359">
        <v>15806853.129999997</v>
      </c>
      <c r="D62" s="359">
        <v>15008362.109999999</v>
      </c>
      <c r="E62" s="359">
        <v>15947561.550000001</v>
      </c>
      <c r="F62" s="359">
        <v>19671754.030000005</v>
      </c>
    </row>
    <row r="63" spans="1:6" s="778" customFormat="1">
      <c r="A63" s="197" t="s">
        <v>95</v>
      </c>
      <c r="B63" s="359">
        <v>534408.71</v>
      </c>
      <c r="C63" s="359">
        <v>503635.37999999983</v>
      </c>
      <c r="D63" s="359">
        <v>574025.39999999991</v>
      </c>
      <c r="E63" s="359">
        <v>484790.07</v>
      </c>
      <c r="F63" s="359">
        <v>574127.3200000003</v>
      </c>
    </row>
    <row r="64" spans="1:6" s="778" customFormat="1">
      <c r="A64" s="197" t="s">
        <v>96</v>
      </c>
      <c r="B64" s="359">
        <v>63930.060000000005</v>
      </c>
      <c r="C64" s="359">
        <v>82588.429999999993</v>
      </c>
      <c r="D64" s="359">
        <v>79329.909999999989</v>
      </c>
      <c r="E64" s="359">
        <v>49289.98</v>
      </c>
      <c r="F64" s="359">
        <v>89084.74000000002</v>
      </c>
    </row>
    <row r="65" spans="1:6" s="778" customFormat="1" ht="10.7" customHeight="1">
      <c r="A65" s="197"/>
      <c r="B65" s="779"/>
      <c r="C65" s="779"/>
      <c r="D65" s="779"/>
      <c r="E65" s="779"/>
      <c r="F65" s="779"/>
    </row>
    <row r="66" spans="1:6">
      <c r="A66" s="197" t="s">
        <v>98</v>
      </c>
      <c r="B66" s="359">
        <v>1470451.02</v>
      </c>
      <c r="C66" s="359">
        <v>1759876.0200000005</v>
      </c>
      <c r="D66" s="359">
        <v>1600880.67</v>
      </c>
      <c r="E66" s="359">
        <v>1547333.72</v>
      </c>
      <c r="F66" s="359">
        <v>1959225.4899999998</v>
      </c>
    </row>
    <row r="67" spans="1:6">
      <c r="A67" s="197" t="s">
        <v>100</v>
      </c>
      <c r="B67" s="359">
        <v>4664288.51</v>
      </c>
      <c r="C67" s="359">
        <v>5294812.0299999993</v>
      </c>
      <c r="D67" s="359">
        <v>4654519.1800000006</v>
      </c>
      <c r="E67" s="359">
        <v>3995299.62</v>
      </c>
      <c r="F67" s="359">
        <v>5282264.5499999989</v>
      </c>
    </row>
    <row r="68" spans="1:6">
      <c r="A68" s="197" t="s">
        <v>102</v>
      </c>
      <c r="B68" s="359">
        <v>127849.94999999997</v>
      </c>
      <c r="C68" s="359">
        <v>150748.04999999999</v>
      </c>
      <c r="D68" s="359">
        <v>174800.37000000002</v>
      </c>
      <c r="E68" s="359">
        <v>147799.13</v>
      </c>
      <c r="F68" s="359">
        <v>177906.49000000005</v>
      </c>
    </row>
    <row r="69" spans="1:6">
      <c r="A69" s="197" t="s">
        <v>104</v>
      </c>
      <c r="B69" s="359">
        <v>968808.80999999982</v>
      </c>
      <c r="C69" s="359">
        <v>1053012.1500000004</v>
      </c>
      <c r="D69" s="359">
        <v>1080523.8700000001</v>
      </c>
      <c r="E69" s="359">
        <v>1015847.1</v>
      </c>
      <c r="F69" s="359">
        <v>1538333.5499999996</v>
      </c>
    </row>
    <row r="70" spans="1:6">
      <c r="A70" s="197" t="s">
        <v>106</v>
      </c>
      <c r="B70" s="359">
        <v>542136.30000000005</v>
      </c>
      <c r="C70" s="359">
        <v>526426.62999999989</v>
      </c>
      <c r="D70" s="359">
        <v>633898.45000000007</v>
      </c>
      <c r="E70" s="359">
        <v>622618</v>
      </c>
      <c r="F70" s="359">
        <v>796261.98999999964</v>
      </c>
    </row>
    <row r="71" spans="1:6" ht="10.7" customHeight="1">
      <c r="A71" s="197"/>
      <c r="B71" s="359"/>
      <c r="C71" s="359"/>
      <c r="D71" s="359"/>
      <c r="E71" s="359"/>
      <c r="F71" s="359"/>
    </row>
    <row r="72" spans="1:6">
      <c r="A72" s="197" t="s">
        <v>108</v>
      </c>
      <c r="B72" s="359">
        <v>543120.79999999981</v>
      </c>
      <c r="C72" s="359">
        <v>616005.87</v>
      </c>
      <c r="D72" s="359">
        <v>638175.47000000009</v>
      </c>
      <c r="E72" s="359">
        <v>554427.6</v>
      </c>
      <c r="F72" s="359">
        <v>806809.46</v>
      </c>
    </row>
    <row r="73" spans="1:6">
      <c r="A73" s="197" t="s">
        <v>110</v>
      </c>
      <c r="B73" s="359">
        <v>232486.41</v>
      </c>
      <c r="C73" s="359">
        <v>184101.15000000002</v>
      </c>
      <c r="D73" s="359">
        <v>182463.91999999998</v>
      </c>
      <c r="E73" s="359">
        <v>178436.21</v>
      </c>
      <c r="F73" s="359">
        <v>178872.96000000002</v>
      </c>
    </row>
    <row r="74" spans="1:6">
      <c r="A74" s="197" t="s">
        <v>112</v>
      </c>
      <c r="B74" s="359">
        <v>37107835.989999987</v>
      </c>
      <c r="C74" s="359">
        <v>42303257.200000003</v>
      </c>
      <c r="D74" s="359">
        <v>40425704.25999999</v>
      </c>
      <c r="E74" s="359">
        <v>39688170.950000003</v>
      </c>
      <c r="F74" s="359">
        <v>53157736.380000003</v>
      </c>
    </row>
    <row r="75" spans="1:6">
      <c r="A75" s="197" t="s">
        <v>114</v>
      </c>
      <c r="B75" s="359">
        <v>1497422.6499999994</v>
      </c>
      <c r="C75" s="359">
        <v>1604545.4700000002</v>
      </c>
      <c r="D75" s="359">
        <v>1673683.27</v>
      </c>
      <c r="E75" s="359">
        <v>1757392.81</v>
      </c>
      <c r="F75" s="359">
        <v>2198231.9300000006</v>
      </c>
    </row>
    <row r="76" spans="1:6">
      <c r="A76" s="197" t="s">
        <v>116</v>
      </c>
      <c r="B76" s="359">
        <v>139677.99</v>
      </c>
      <c r="C76" s="359">
        <v>141928.02999999997</v>
      </c>
      <c r="D76" s="359">
        <v>221794.17</v>
      </c>
      <c r="E76" s="359">
        <v>148868.70000000001</v>
      </c>
      <c r="F76" s="359">
        <v>190064.47000000003</v>
      </c>
    </row>
    <row r="77" spans="1:6" ht="10.7" customHeight="1">
      <c r="A77" s="197"/>
      <c r="B77" s="359"/>
      <c r="C77" s="359"/>
      <c r="D77" s="359"/>
      <c r="E77" s="359"/>
      <c r="F77" s="359"/>
    </row>
    <row r="78" spans="1:6">
      <c r="A78" s="197" t="s">
        <v>118</v>
      </c>
      <c r="B78" s="359">
        <v>391009.63000000006</v>
      </c>
      <c r="C78" s="359">
        <v>415867.52000000014</v>
      </c>
      <c r="D78" s="359">
        <v>342163.18000000011</v>
      </c>
      <c r="E78" s="359">
        <v>405910.12</v>
      </c>
      <c r="F78" s="359">
        <v>460587.42999999993</v>
      </c>
    </row>
    <row r="79" spans="1:6">
      <c r="A79" s="197" t="s">
        <v>120</v>
      </c>
      <c r="B79" s="359">
        <v>326165.97999999992</v>
      </c>
      <c r="C79" s="359">
        <v>393439.68</v>
      </c>
      <c r="D79" s="359">
        <v>357288.45999999996</v>
      </c>
      <c r="E79" s="359">
        <v>312730.06</v>
      </c>
      <c r="F79" s="359">
        <v>388892.24999999988</v>
      </c>
    </row>
    <row r="80" spans="1:6">
      <c r="A80" s="197" t="s">
        <v>122</v>
      </c>
      <c r="B80" s="359">
        <v>654070.38</v>
      </c>
      <c r="C80" s="359">
        <v>651825.01999999967</v>
      </c>
      <c r="D80" s="359">
        <v>782256.71000000008</v>
      </c>
      <c r="E80" s="359">
        <v>913997.9</v>
      </c>
      <c r="F80" s="359">
        <v>910756.09</v>
      </c>
    </row>
    <row r="81" spans="1:6">
      <c r="A81" s="197" t="s">
        <v>124</v>
      </c>
      <c r="B81" s="359">
        <v>423012.15</v>
      </c>
      <c r="C81" s="359">
        <v>522960.12999999995</v>
      </c>
      <c r="D81" s="359">
        <v>762686.58</v>
      </c>
      <c r="E81" s="359">
        <v>384709.92</v>
      </c>
      <c r="F81" s="359">
        <v>592423.35</v>
      </c>
    </row>
    <row r="82" spans="1:6">
      <c r="A82" s="197" t="s">
        <v>126</v>
      </c>
      <c r="B82" s="359">
        <v>3048034.2999999984</v>
      </c>
      <c r="C82" s="359">
        <v>2670078.8199999984</v>
      </c>
      <c r="D82" s="359">
        <v>3455784.0199999977</v>
      </c>
      <c r="E82" s="359">
        <v>3078167.35</v>
      </c>
      <c r="F82" s="359">
        <v>4494921.7700000033</v>
      </c>
    </row>
    <row r="83" spans="1:6" ht="18">
      <c r="A83" s="1382" t="s">
        <v>695</v>
      </c>
      <c r="B83" s="1382"/>
      <c r="C83" s="1382"/>
      <c r="D83" s="1382"/>
      <c r="E83" s="780"/>
    </row>
    <row r="84" spans="1:6" ht="15.75">
      <c r="A84" s="880" t="str">
        <f>A43</f>
        <v xml:space="preserve">Recordation Tax and Deeds of Conveyance Revenue Collections by Locality </v>
      </c>
      <c r="B84" s="880"/>
      <c r="C84" s="880"/>
      <c r="D84" s="880"/>
      <c r="E84" s="901"/>
      <c r="F84" s="902"/>
    </row>
    <row r="85" spans="1:6" ht="13.5" thickBot="1">
      <c r="A85" s="776"/>
      <c r="B85" s="776"/>
      <c r="C85" s="776"/>
      <c r="D85" s="776"/>
    </row>
    <row r="86" spans="1:6" ht="15" customHeight="1" thickTop="1">
      <c r="A86" s="762"/>
      <c r="B86" s="763" t="s">
        <v>33</v>
      </c>
      <c r="C86" s="763" t="s">
        <v>33</v>
      </c>
      <c r="D86" s="763" t="s">
        <v>33</v>
      </c>
      <c r="E86" s="763" t="s">
        <v>33</v>
      </c>
      <c r="F86" s="763" t="s">
        <v>33</v>
      </c>
    </row>
    <row r="87" spans="1:6">
      <c r="A87" s="765" t="s">
        <v>23</v>
      </c>
      <c r="B87" s="766">
        <f>B46</f>
        <v>2016</v>
      </c>
      <c r="C87" s="766">
        <f t="shared" ref="C87:E87" si="1">C46</f>
        <v>2017</v>
      </c>
      <c r="D87" s="766">
        <f t="shared" si="1"/>
        <v>2018</v>
      </c>
      <c r="E87" s="766">
        <f t="shared" si="1"/>
        <v>2019</v>
      </c>
      <c r="F87" s="766">
        <f>F46</f>
        <v>2020</v>
      </c>
    </row>
    <row r="88" spans="1:6" s="771" customFormat="1" ht="10.7" customHeight="1">
      <c r="A88" s="768"/>
      <c r="B88" s="777"/>
      <c r="C88" s="777"/>
      <c r="D88" s="770"/>
      <c r="E88" s="770"/>
      <c r="F88" s="770"/>
    </row>
    <row r="89" spans="1:6">
      <c r="A89" s="197" t="s">
        <v>128</v>
      </c>
      <c r="B89" s="361">
        <v>557731.34000000008</v>
      </c>
      <c r="C89" s="361">
        <v>638985.89999999991</v>
      </c>
      <c r="D89" s="361">
        <v>623465.81000000029</v>
      </c>
      <c r="E89" s="361">
        <v>629995.38</v>
      </c>
      <c r="F89" s="361">
        <v>729977.74999999977</v>
      </c>
    </row>
    <row r="90" spans="1:6">
      <c r="A90" s="197" t="s">
        <v>130</v>
      </c>
      <c r="B90" s="359">
        <v>991204.51000000013</v>
      </c>
      <c r="C90" s="359">
        <v>1148124.2299999997</v>
      </c>
      <c r="D90" s="359">
        <v>1302926.9500000004</v>
      </c>
      <c r="E90" s="359">
        <v>1189610.2</v>
      </c>
      <c r="F90" s="359">
        <v>1467213.74</v>
      </c>
    </row>
    <row r="91" spans="1:6">
      <c r="A91" s="197" t="s">
        <v>132</v>
      </c>
      <c r="B91" s="359">
        <v>423631.69000000012</v>
      </c>
      <c r="C91" s="359">
        <v>573099.77</v>
      </c>
      <c r="D91" s="359">
        <v>453247.04999999993</v>
      </c>
      <c r="E91" s="359">
        <v>496579.51</v>
      </c>
      <c r="F91" s="359">
        <v>583901.90000000014</v>
      </c>
    </row>
    <row r="92" spans="1:6">
      <c r="A92" s="197" t="s">
        <v>134</v>
      </c>
      <c r="B92" s="359">
        <v>547312.44000000006</v>
      </c>
      <c r="C92" s="359">
        <v>573510.94999999995</v>
      </c>
      <c r="D92" s="359">
        <v>574087.36</v>
      </c>
      <c r="E92" s="359">
        <v>555922.09</v>
      </c>
      <c r="F92" s="359">
        <v>755409.69000000006</v>
      </c>
    </row>
    <row r="93" spans="1:6">
      <c r="A93" s="197" t="s">
        <v>136</v>
      </c>
      <c r="B93" s="359">
        <v>172141.67000000004</v>
      </c>
      <c r="C93" s="359">
        <v>182101.08</v>
      </c>
      <c r="D93" s="359">
        <v>247151.14999999997</v>
      </c>
      <c r="E93" s="359">
        <v>280242.59000000003</v>
      </c>
      <c r="F93" s="359">
        <v>219470.27</v>
      </c>
    </row>
    <row r="94" spans="1:6" ht="10.7" customHeight="1">
      <c r="A94" s="197"/>
      <c r="B94" s="359"/>
      <c r="C94" s="359"/>
      <c r="D94" s="359"/>
      <c r="E94" s="359"/>
      <c r="F94" s="359"/>
    </row>
    <row r="95" spans="1:6">
      <c r="A95" s="197" t="s">
        <v>138</v>
      </c>
      <c r="B95" s="359">
        <v>1171454.6300000001</v>
      </c>
      <c r="C95" s="359">
        <v>1436475.92</v>
      </c>
      <c r="D95" s="359">
        <v>1429921.0199999993</v>
      </c>
      <c r="E95" s="359">
        <v>1441701.75</v>
      </c>
      <c r="F95" s="359">
        <v>1823120.6799999995</v>
      </c>
    </row>
    <row r="96" spans="1:6">
      <c r="A96" s="197" t="s">
        <v>140</v>
      </c>
      <c r="B96" s="359">
        <v>404234.31</v>
      </c>
      <c r="C96" s="359">
        <v>466989.98000000004</v>
      </c>
      <c r="D96" s="359">
        <v>496463.16000000015</v>
      </c>
      <c r="E96" s="359">
        <v>457027.59</v>
      </c>
      <c r="F96" s="359">
        <v>585266.57000000018</v>
      </c>
    </row>
    <row r="97" spans="1:6">
      <c r="A97" s="197" t="s">
        <v>141</v>
      </c>
      <c r="B97" s="359">
        <v>186952.84000000003</v>
      </c>
      <c r="C97" s="359">
        <v>225055.49000000005</v>
      </c>
      <c r="D97" s="359">
        <v>274494.39000000007</v>
      </c>
      <c r="E97" s="359">
        <v>241251.87</v>
      </c>
      <c r="F97" s="359">
        <v>387569.0799999999</v>
      </c>
    </row>
    <row r="98" spans="1:6">
      <c r="A98" s="197" t="s">
        <v>143</v>
      </c>
      <c r="B98" s="359">
        <v>785785.43999999983</v>
      </c>
      <c r="C98" s="359">
        <v>790560.54999999981</v>
      </c>
      <c r="D98" s="359">
        <v>779736.89</v>
      </c>
      <c r="E98" s="359">
        <v>892836.42</v>
      </c>
      <c r="F98" s="359">
        <v>1075072.7400000002</v>
      </c>
    </row>
    <row r="99" spans="1:6">
      <c r="A99" s="197" t="s">
        <v>145</v>
      </c>
      <c r="B99" s="359">
        <v>1213743.8500000001</v>
      </c>
      <c r="C99" s="359">
        <v>1386980.3399999996</v>
      </c>
      <c r="D99" s="359">
        <v>1362940.0500000005</v>
      </c>
      <c r="E99" s="359">
        <v>1487227.55</v>
      </c>
      <c r="F99" s="359">
        <v>1972535.7900000005</v>
      </c>
    </row>
    <row r="100" spans="1:6" ht="10.7" customHeight="1">
      <c r="A100" s="197"/>
      <c r="B100" s="359"/>
      <c r="C100" s="359"/>
      <c r="D100" s="359"/>
      <c r="E100" s="359"/>
      <c r="F100" s="359"/>
    </row>
    <row r="101" spans="1:6">
      <c r="A101" s="197" t="s">
        <v>146</v>
      </c>
      <c r="B101" s="359">
        <v>387064</v>
      </c>
      <c r="C101" s="359">
        <v>564585.67000000004</v>
      </c>
      <c r="D101" s="359">
        <v>569395.88000000012</v>
      </c>
      <c r="E101" s="359">
        <v>402026.12</v>
      </c>
      <c r="F101" s="359">
        <v>453222.7199999998</v>
      </c>
    </row>
    <row r="102" spans="1:6">
      <c r="A102" s="197" t="s">
        <v>148</v>
      </c>
      <c r="B102" s="359">
        <v>1132218.4300000004</v>
      </c>
      <c r="C102" s="359">
        <v>780150.33</v>
      </c>
      <c r="D102" s="359">
        <v>959713.30999999994</v>
      </c>
      <c r="E102" s="359">
        <v>1006178.59</v>
      </c>
      <c r="F102" s="359">
        <v>1184889.1199999996</v>
      </c>
    </row>
    <row r="103" spans="1:6">
      <c r="A103" s="197" t="s">
        <v>150</v>
      </c>
      <c r="B103" s="359">
        <v>28726098.039999984</v>
      </c>
      <c r="C103" s="359">
        <v>30064841.35000002</v>
      </c>
      <c r="D103" s="359">
        <v>26344210.129999977</v>
      </c>
      <c r="E103" s="359">
        <v>26801684.57</v>
      </c>
      <c r="F103" s="359">
        <v>35560843.670000002</v>
      </c>
    </row>
    <row r="104" spans="1:6">
      <c r="A104" s="197" t="s">
        <v>152</v>
      </c>
      <c r="B104" s="359">
        <v>583382.78</v>
      </c>
      <c r="C104" s="359">
        <v>677949.25000000023</v>
      </c>
      <c r="D104" s="359">
        <v>818605.03000000026</v>
      </c>
      <c r="E104" s="359">
        <v>679119.52</v>
      </c>
      <c r="F104" s="359">
        <v>861117.0499999997</v>
      </c>
    </row>
    <row r="105" spans="1:6">
      <c r="A105" s="197" t="s">
        <v>154</v>
      </c>
      <c r="B105" s="359">
        <v>307336.31</v>
      </c>
      <c r="C105" s="359">
        <v>449471.14999999991</v>
      </c>
      <c r="D105" s="359">
        <v>381832.67000000004</v>
      </c>
      <c r="E105" s="359">
        <v>363968.27</v>
      </c>
      <c r="F105" s="359">
        <v>436841.67000000004</v>
      </c>
    </row>
    <row r="106" spans="1:6" ht="10.7" customHeight="1">
      <c r="A106" s="197"/>
      <c r="B106" s="359"/>
      <c r="C106" s="359"/>
      <c r="D106" s="359"/>
      <c r="E106" s="359"/>
      <c r="F106" s="359"/>
    </row>
    <row r="107" spans="1:6">
      <c r="A107" s="197" t="s">
        <v>156</v>
      </c>
      <c r="B107" s="359">
        <v>152344.04</v>
      </c>
      <c r="C107" s="359">
        <v>175841.78</v>
      </c>
      <c r="D107" s="359">
        <v>176704.23999999996</v>
      </c>
      <c r="E107" s="359">
        <v>205167.83</v>
      </c>
      <c r="F107" s="359">
        <v>226953.80000000008</v>
      </c>
    </row>
    <row r="108" spans="1:6">
      <c r="A108" s="197" t="s">
        <v>27</v>
      </c>
      <c r="B108" s="359">
        <v>3033546.4199999976</v>
      </c>
      <c r="C108" s="359">
        <v>3043687.8300000005</v>
      </c>
      <c r="D108" s="359">
        <v>3169185.4299999997</v>
      </c>
      <c r="E108" s="359">
        <v>3502787.52</v>
      </c>
      <c r="F108" s="359">
        <v>3746993.8600000017</v>
      </c>
    </row>
    <row r="109" spans="1:6">
      <c r="A109" s="197" t="s">
        <v>158</v>
      </c>
      <c r="B109" s="359">
        <v>514087.84000000014</v>
      </c>
      <c r="C109" s="359">
        <v>549987.05000000005</v>
      </c>
      <c r="D109" s="359">
        <v>615899.92000000004</v>
      </c>
      <c r="E109" s="359">
        <v>546408.62</v>
      </c>
      <c r="F109" s="359">
        <v>770962.09000000008</v>
      </c>
    </row>
    <row r="110" spans="1:6">
      <c r="A110" s="197" t="s">
        <v>159</v>
      </c>
      <c r="B110" s="359">
        <v>2518274.3400000008</v>
      </c>
      <c r="C110" s="359">
        <v>3054562.02</v>
      </c>
      <c r="D110" s="359">
        <v>2948389.1300000008</v>
      </c>
      <c r="E110" s="359">
        <v>2677530.62</v>
      </c>
      <c r="F110" s="359">
        <v>3308695.16</v>
      </c>
    </row>
    <row r="111" spans="1:6">
      <c r="A111" s="197" t="s">
        <v>161</v>
      </c>
      <c r="B111" s="359">
        <v>263643.44000000006</v>
      </c>
      <c r="C111" s="359">
        <v>247015.55000000002</v>
      </c>
      <c r="D111" s="359">
        <v>368312.44000000012</v>
      </c>
      <c r="E111" s="359">
        <v>260062.76</v>
      </c>
      <c r="F111" s="359">
        <v>338693.87999999995</v>
      </c>
    </row>
    <row r="112" spans="1:6" ht="10.7" customHeight="1">
      <c r="A112" s="197"/>
      <c r="B112" s="359"/>
      <c r="C112" s="359"/>
      <c r="D112" s="359"/>
      <c r="E112" s="359"/>
      <c r="F112" s="359"/>
    </row>
    <row r="113" spans="1:6">
      <c r="A113" s="772" t="s">
        <v>163</v>
      </c>
      <c r="B113" s="359">
        <v>243299.32000000012</v>
      </c>
      <c r="C113" s="359">
        <v>269820.74000000011</v>
      </c>
      <c r="D113" s="359">
        <v>273738.98</v>
      </c>
      <c r="E113" s="359">
        <v>218240.83</v>
      </c>
      <c r="F113" s="359">
        <v>278006.08</v>
      </c>
    </row>
    <row r="114" spans="1:6">
      <c r="A114" s="197" t="s">
        <v>165</v>
      </c>
      <c r="B114" s="359">
        <v>1200151.7099999997</v>
      </c>
      <c r="C114" s="359">
        <v>1401799.5599999998</v>
      </c>
      <c r="D114" s="359">
        <v>1278803.43</v>
      </c>
      <c r="E114" s="359">
        <v>1402357.87</v>
      </c>
      <c r="F114" s="359">
        <v>1589540.57</v>
      </c>
    </row>
    <row r="115" spans="1:6">
      <c r="A115" s="197" t="s">
        <v>167</v>
      </c>
      <c r="B115" s="359">
        <v>375898.57</v>
      </c>
      <c r="C115" s="359">
        <v>334189.18999999994</v>
      </c>
      <c r="D115" s="359">
        <v>389767.91000000009</v>
      </c>
      <c r="E115" s="359">
        <v>371161.79</v>
      </c>
      <c r="F115" s="359">
        <v>439458.13999999996</v>
      </c>
    </row>
    <row r="116" spans="1:6">
      <c r="A116" s="197" t="s">
        <v>169</v>
      </c>
      <c r="B116" s="359">
        <v>477102.99</v>
      </c>
      <c r="C116" s="359">
        <v>327896.21999999997</v>
      </c>
      <c r="D116" s="359">
        <v>416032.10999999987</v>
      </c>
      <c r="E116" s="359">
        <v>323211.2</v>
      </c>
      <c r="F116" s="359">
        <v>412789.25999999989</v>
      </c>
    </row>
    <row r="117" spans="1:6">
      <c r="A117" s="197" t="s">
        <v>171</v>
      </c>
      <c r="B117" s="359">
        <v>5918116.2300000004</v>
      </c>
      <c r="C117" s="359">
        <v>7774488.5300000012</v>
      </c>
      <c r="D117" s="359">
        <v>7300265.8299999991</v>
      </c>
      <c r="E117" s="359">
        <v>6988282.0599999996</v>
      </c>
      <c r="F117" s="359">
        <v>9502487.5299999993</v>
      </c>
    </row>
    <row r="118" spans="1:6" ht="10.7" customHeight="1">
      <c r="A118" s="197"/>
      <c r="B118" s="359"/>
      <c r="C118" s="359"/>
      <c r="D118" s="359"/>
      <c r="E118" s="359"/>
      <c r="F118" s="359"/>
    </row>
    <row r="119" spans="1:6">
      <c r="A119" s="197" t="s">
        <v>173</v>
      </c>
      <c r="B119" s="359">
        <v>8421939.7299999986</v>
      </c>
      <c r="C119" s="359">
        <v>9966543.4899999965</v>
      </c>
      <c r="D119" s="359">
        <v>9275204.3100000005</v>
      </c>
      <c r="E119" s="359">
        <v>9093558.5</v>
      </c>
      <c r="F119" s="359">
        <v>12880841.900000004</v>
      </c>
    </row>
    <row r="120" spans="1:6">
      <c r="A120" s="197" t="s">
        <v>175</v>
      </c>
      <c r="B120" s="359">
        <v>170806.46</v>
      </c>
      <c r="C120" s="359">
        <v>157535.5</v>
      </c>
      <c r="D120" s="359">
        <v>220285.65999999997</v>
      </c>
      <c r="E120" s="359">
        <v>240997.16</v>
      </c>
      <c r="F120" s="359">
        <v>213988.37</v>
      </c>
    </row>
    <row r="121" spans="1:6">
      <c r="A121" s="197" t="s">
        <v>177</v>
      </c>
      <c r="B121" s="359">
        <v>210424.08000000002</v>
      </c>
      <c r="C121" s="359">
        <v>172599.98</v>
      </c>
      <c r="D121" s="359">
        <v>157686.45000000001</v>
      </c>
      <c r="E121" s="359">
        <v>169532.11</v>
      </c>
      <c r="F121" s="359">
        <v>219052.22999999998</v>
      </c>
    </row>
    <row r="122" spans="1:6">
      <c r="A122" s="197" t="s">
        <v>179</v>
      </c>
      <c r="B122" s="359">
        <v>517188.72000000003</v>
      </c>
      <c r="C122" s="359">
        <v>538806.21</v>
      </c>
      <c r="D122" s="359">
        <v>529412.86999999988</v>
      </c>
      <c r="E122" s="359">
        <v>551970.11</v>
      </c>
      <c r="F122" s="359">
        <v>619201.65000000014</v>
      </c>
    </row>
    <row r="123" spans="1:6">
      <c r="A123" s="197" t="s">
        <v>181</v>
      </c>
      <c r="B123" s="359">
        <v>1540856.8999999994</v>
      </c>
      <c r="C123" s="359">
        <v>1605334.8200000008</v>
      </c>
      <c r="D123" s="359">
        <v>1642991.7599999995</v>
      </c>
      <c r="E123" s="359">
        <v>1584618.26</v>
      </c>
      <c r="F123" s="359">
        <v>2053348.3400000003</v>
      </c>
    </row>
    <row r="124" spans="1:6" ht="18">
      <c r="A124" s="1382" t="s">
        <v>695</v>
      </c>
      <c r="B124" s="1382"/>
      <c r="C124" s="1382"/>
      <c r="D124" s="1382"/>
    </row>
    <row r="125" spans="1:6" ht="15.75">
      <c r="A125" s="880" t="str">
        <f>A84</f>
        <v xml:space="preserve">Recordation Tax and Deeds of Conveyance Revenue Collections by Locality </v>
      </c>
      <c r="B125" s="880"/>
      <c r="C125" s="880"/>
      <c r="D125" s="880"/>
      <c r="E125" s="901"/>
      <c r="F125" s="902"/>
    </row>
    <row r="126" spans="1:6" ht="13.5" thickBot="1">
      <c r="A126" s="776"/>
      <c r="B126" s="776"/>
      <c r="C126" s="776"/>
      <c r="D126" s="776"/>
    </row>
    <row r="127" spans="1:6" ht="15" customHeight="1" thickTop="1">
      <c r="A127" s="762"/>
      <c r="B127" s="763" t="s">
        <v>33</v>
      </c>
      <c r="C127" s="763" t="s">
        <v>33</v>
      </c>
      <c r="D127" s="763" t="s">
        <v>33</v>
      </c>
      <c r="E127" s="763" t="s">
        <v>33</v>
      </c>
      <c r="F127" s="763" t="s">
        <v>33</v>
      </c>
    </row>
    <row r="128" spans="1:6">
      <c r="A128" s="765" t="s">
        <v>23</v>
      </c>
      <c r="B128" s="766">
        <f>B87</f>
        <v>2016</v>
      </c>
      <c r="C128" s="766">
        <f t="shared" ref="C128:E128" si="2">C87</f>
        <v>2017</v>
      </c>
      <c r="D128" s="766">
        <f t="shared" si="2"/>
        <v>2018</v>
      </c>
      <c r="E128" s="766">
        <f t="shared" si="2"/>
        <v>2019</v>
      </c>
      <c r="F128" s="766">
        <f>F87</f>
        <v>2020</v>
      </c>
    </row>
    <row r="129" spans="1:7" s="771" customFormat="1" ht="10.7" customHeight="1">
      <c r="A129" s="768"/>
      <c r="B129" s="777"/>
      <c r="C129" s="770"/>
      <c r="D129" s="770"/>
      <c r="E129" s="770"/>
      <c r="F129" s="770"/>
    </row>
    <row r="130" spans="1:7">
      <c r="A130" s="197" t="s">
        <v>183</v>
      </c>
      <c r="B130" s="361">
        <v>1255123.2300000004</v>
      </c>
      <c r="C130" s="361">
        <v>1381461.9999999998</v>
      </c>
      <c r="D130" s="361">
        <v>1202234.8900000001</v>
      </c>
      <c r="E130" s="361">
        <v>1231828.01</v>
      </c>
      <c r="F130" s="361">
        <v>1529182.9100000001</v>
      </c>
    </row>
    <row r="131" spans="1:7">
      <c r="A131" s="197" t="s">
        <v>185</v>
      </c>
      <c r="B131" s="359">
        <v>593517.92000000016</v>
      </c>
      <c r="C131" s="359">
        <v>642968.16</v>
      </c>
      <c r="D131" s="359">
        <v>687189.10000000033</v>
      </c>
      <c r="E131" s="359">
        <v>748660.67</v>
      </c>
      <c r="F131" s="359">
        <v>823366.21999999974</v>
      </c>
    </row>
    <row r="132" spans="1:7">
      <c r="A132" s="197" t="s">
        <v>187</v>
      </c>
      <c r="B132" s="359">
        <v>556866.30000000016</v>
      </c>
      <c r="C132" s="359">
        <v>301693.24999999994</v>
      </c>
      <c r="D132" s="359">
        <v>313486.45999999996</v>
      </c>
      <c r="E132" s="359">
        <v>292391.27</v>
      </c>
      <c r="F132" s="359">
        <v>446724.17999999993</v>
      </c>
    </row>
    <row r="133" spans="1:7">
      <c r="A133" s="197" t="s">
        <v>189</v>
      </c>
      <c r="B133" s="359">
        <v>497427.80999999976</v>
      </c>
      <c r="C133" s="359">
        <v>627435.89</v>
      </c>
      <c r="D133" s="359">
        <v>594264.69999999995</v>
      </c>
      <c r="E133" s="359">
        <v>510930.62</v>
      </c>
      <c r="F133" s="359">
        <v>789534.61</v>
      </c>
    </row>
    <row r="134" spans="1:7">
      <c r="A134" s="197" t="s">
        <v>191</v>
      </c>
      <c r="B134" s="359">
        <v>3140242.6599999988</v>
      </c>
      <c r="C134" s="359">
        <v>3137748.9399999985</v>
      </c>
      <c r="D134" s="359">
        <v>3912805.1600000006</v>
      </c>
      <c r="E134" s="359">
        <v>3426230.59</v>
      </c>
      <c r="F134" s="359">
        <v>4207435.660000002</v>
      </c>
    </row>
    <row r="135" spans="1:7" s="771" customFormat="1" ht="10.7" customHeight="1">
      <c r="A135" s="781"/>
      <c r="B135" s="781"/>
      <c r="C135" s="781"/>
      <c r="D135" s="781"/>
      <c r="E135" s="770"/>
      <c r="F135" s="770"/>
    </row>
    <row r="136" spans="1:7">
      <c r="A136" s="782" t="s">
        <v>24</v>
      </c>
      <c r="B136" s="783">
        <f>SUM(B7:B41,B48:B82,B89:B123,B130:B134)</f>
        <v>298077573.12</v>
      </c>
      <c r="C136" s="783">
        <f>SUM(C7:C41,C48:C82,C89:C123,C130:C134)</f>
        <v>323500358.88</v>
      </c>
      <c r="D136" s="783">
        <f>SUM(D7:D41,D48:D82,D89:D123,D130:D134)</f>
        <v>317011492.09000015</v>
      </c>
      <c r="E136" s="783">
        <f>SUM(E7:E41,E48:E82,E89:E123,E130:E134)</f>
        <v>309985515.51999992</v>
      </c>
      <c r="F136" s="783">
        <f>SUM(F7:F41,F48:F82,F89:F123,F130:F134)</f>
        <v>394179563.19000024</v>
      </c>
    </row>
    <row r="137" spans="1:7" ht="13.5" thickBot="1">
      <c r="A137" s="784"/>
      <c r="B137" s="785"/>
      <c r="C137" s="785"/>
      <c r="D137" s="785"/>
    </row>
    <row r="138" spans="1:7" ht="15" customHeight="1" thickTop="1">
      <c r="A138" s="762"/>
      <c r="B138" s="763" t="s">
        <v>33</v>
      </c>
      <c r="C138" s="763" t="s">
        <v>33</v>
      </c>
      <c r="D138" s="763" t="s">
        <v>33</v>
      </c>
      <c r="E138" s="763" t="s">
        <v>33</v>
      </c>
      <c r="F138" s="763" t="s">
        <v>33</v>
      </c>
    </row>
    <row r="139" spans="1:7">
      <c r="A139" s="765" t="s">
        <v>25</v>
      </c>
      <c r="B139" s="766">
        <f>B128</f>
        <v>2016</v>
      </c>
      <c r="C139" s="766">
        <f t="shared" ref="C139:E139" si="3">C128</f>
        <v>2017</v>
      </c>
      <c r="D139" s="766">
        <f t="shared" si="3"/>
        <v>2018</v>
      </c>
      <c r="E139" s="766">
        <f t="shared" si="3"/>
        <v>2019</v>
      </c>
      <c r="F139" s="766">
        <f>F128</f>
        <v>2020</v>
      </c>
    </row>
    <row r="140" spans="1:7" s="771" customFormat="1" ht="10.7" customHeight="1">
      <c r="A140" s="768"/>
      <c r="B140" s="769"/>
      <c r="C140" s="770"/>
      <c r="D140" s="770"/>
      <c r="E140" s="770"/>
      <c r="F140" s="770"/>
    </row>
    <row r="141" spans="1:7">
      <c r="A141" s="772" t="s">
        <v>196</v>
      </c>
      <c r="B141" s="773">
        <v>14059919.710000003</v>
      </c>
      <c r="C141" s="361">
        <v>13615230.800000004</v>
      </c>
      <c r="D141" s="361">
        <v>19189001.520000003</v>
      </c>
      <c r="E141" s="361">
        <v>15829535.57</v>
      </c>
      <c r="F141" s="361">
        <v>19647871.479999997</v>
      </c>
      <c r="G141" s="360"/>
    </row>
    <row r="142" spans="1:7">
      <c r="A142" s="197" t="s">
        <v>198</v>
      </c>
      <c r="B142" s="198">
        <v>464720.13999999984</v>
      </c>
      <c r="C142" s="359">
        <v>410392.85000000009</v>
      </c>
      <c r="D142" s="359">
        <v>671445.66000000015</v>
      </c>
      <c r="E142" s="359">
        <v>436365.84</v>
      </c>
      <c r="F142" s="359">
        <v>402796.44000000006</v>
      </c>
    </row>
    <row r="143" spans="1:7">
      <c r="A143" s="197" t="s">
        <v>200</v>
      </c>
      <c r="B143" s="198">
        <v>66233.669999999984</v>
      </c>
      <c r="C143" s="359">
        <v>73487.250000000015</v>
      </c>
      <c r="D143" s="359">
        <v>86014.900000000009</v>
      </c>
      <c r="E143" s="359">
        <v>103927</v>
      </c>
      <c r="F143" s="359">
        <v>99939.260000000009</v>
      </c>
    </row>
    <row r="144" spans="1:7">
      <c r="A144" s="197" t="s">
        <v>202</v>
      </c>
      <c r="B144" s="198">
        <v>2037681.0300000007</v>
      </c>
      <c r="C144" s="359">
        <v>3091006.3100000005</v>
      </c>
      <c r="D144" s="359">
        <v>2044431.6400000008</v>
      </c>
      <c r="E144" s="359">
        <v>2448300.54</v>
      </c>
      <c r="F144" s="359">
        <v>2810244.3499999992</v>
      </c>
    </row>
    <row r="145" spans="1:8" ht="10.7" customHeight="1">
      <c r="A145" s="197"/>
      <c r="B145" s="198"/>
      <c r="C145" s="359"/>
      <c r="D145" s="359"/>
      <c r="E145" s="359"/>
      <c r="F145" s="359"/>
    </row>
    <row r="146" spans="1:8">
      <c r="A146" s="197" t="s">
        <v>147</v>
      </c>
      <c r="B146" s="198">
        <v>11339348.560000004</v>
      </c>
      <c r="C146" s="359">
        <v>11232453.27</v>
      </c>
      <c r="D146" s="359">
        <v>11431326.029999994</v>
      </c>
      <c r="E146" s="359">
        <v>11711127.99</v>
      </c>
      <c r="F146" s="359">
        <v>14401491.530000003</v>
      </c>
    </row>
    <row r="147" spans="1:8">
      <c r="A147" s="197" t="s">
        <v>149</v>
      </c>
      <c r="B147" s="198">
        <v>479930.34999999992</v>
      </c>
      <c r="C147" s="359">
        <v>435120.72999999992</v>
      </c>
      <c r="D147" s="359">
        <v>542972.94999999984</v>
      </c>
      <c r="E147" s="359">
        <v>504463.35999999999</v>
      </c>
      <c r="F147" s="359">
        <v>577847.50999999989</v>
      </c>
      <c r="G147" s="360"/>
    </row>
    <row r="148" spans="1:8">
      <c r="A148" s="197" t="s">
        <v>517</v>
      </c>
      <c r="B148" s="198">
        <v>77056.239999999991</v>
      </c>
      <c r="C148" s="359">
        <v>53364.87999999999</v>
      </c>
      <c r="D148" s="359">
        <v>76409.13</v>
      </c>
      <c r="E148" s="359">
        <v>88998.17</v>
      </c>
      <c r="F148" s="359">
        <v>52182.38</v>
      </c>
      <c r="G148" s="360"/>
      <c r="H148" s="362"/>
    </row>
    <row r="149" spans="1:8">
      <c r="A149" s="197" t="s">
        <v>153</v>
      </c>
      <c r="B149" s="198">
        <v>589601.94999999984</v>
      </c>
      <c r="C149" s="359">
        <v>743505.04</v>
      </c>
      <c r="D149" s="359">
        <v>673805.5</v>
      </c>
      <c r="E149" s="359">
        <v>510855.9</v>
      </c>
      <c r="F149" s="359">
        <v>876366.90999999992</v>
      </c>
    </row>
    <row r="150" spans="1:8">
      <c r="A150" s="197" t="s">
        <v>523</v>
      </c>
      <c r="B150" s="198">
        <v>53779.479999999996</v>
      </c>
      <c r="C150" s="359">
        <v>62314.090000000011</v>
      </c>
      <c r="D150" s="359">
        <v>59787.79</v>
      </c>
      <c r="E150" s="359">
        <v>159810.54</v>
      </c>
      <c r="F150" s="1126">
        <v>155399.96000000002</v>
      </c>
      <c r="G150" s="360"/>
      <c r="H150" s="362"/>
    </row>
    <row r="151" spans="1:8" ht="10.7" customHeight="1">
      <c r="A151" s="197"/>
      <c r="B151" s="198"/>
      <c r="C151" s="359"/>
      <c r="D151" s="359"/>
      <c r="E151" s="359"/>
      <c r="F151" s="359"/>
    </row>
    <row r="152" spans="1:8">
      <c r="A152" s="197" t="s">
        <v>518</v>
      </c>
      <c r="B152" s="198">
        <v>1799310.87</v>
      </c>
      <c r="C152" s="359">
        <v>1472103.9700000002</v>
      </c>
      <c r="D152" s="359">
        <v>1544945.29</v>
      </c>
      <c r="E152" s="521">
        <v>1652558.97</v>
      </c>
      <c r="F152" s="521">
        <v>1761827.9100000001</v>
      </c>
      <c r="G152" s="360"/>
    </row>
    <row r="153" spans="1:8">
      <c r="A153" s="197" t="s">
        <v>528</v>
      </c>
      <c r="B153" s="198">
        <v>1105968.2099999997</v>
      </c>
      <c r="C153" s="359">
        <v>1306832.9699999997</v>
      </c>
      <c r="D153" s="359">
        <v>1342992</v>
      </c>
      <c r="E153" s="359">
        <v>1369851.41</v>
      </c>
      <c r="F153" s="359">
        <v>1304917.4099999999</v>
      </c>
    </row>
    <row r="154" spans="1:8">
      <c r="A154" s="197" t="s">
        <v>529</v>
      </c>
      <c r="B154" s="198">
        <v>127209.13</v>
      </c>
      <c r="C154" s="359">
        <v>178872.18999999997</v>
      </c>
      <c r="D154" s="359">
        <v>142075.51</v>
      </c>
      <c r="E154" s="359">
        <v>158255.09</v>
      </c>
      <c r="F154" s="359">
        <v>243652.99</v>
      </c>
    </row>
    <row r="155" spans="1:8">
      <c r="A155" s="197" t="s">
        <v>160</v>
      </c>
      <c r="B155" s="198">
        <v>1803523.3899999994</v>
      </c>
      <c r="C155" s="359">
        <v>1483767.7999999998</v>
      </c>
      <c r="D155" s="359">
        <v>1230423.9700000002</v>
      </c>
      <c r="E155" s="359">
        <v>1696546.03</v>
      </c>
      <c r="F155" s="359">
        <v>1626979.4599999997</v>
      </c>
    </row>
    <row r="156" spans="1:8">
      <c r="A156" s="197" t="s">
        <v>536</v>
      </c>
      <c r="B156" s="198">
        <v>127588.16999999998</v>
      </c>
      <c r="C156" s="359">
        <v>105377.20999999999</v>
      </c>
      <c r="D156" s="359">
        <v>88562.189999999988</v>
      </c>
      <c r="E156" s="359">
        <v>99133.22</v>
      </c>
      <c r="F156" s="359">
        <v>111115.28</v>
      </c>
      <c r="G156" s="360"/>
      <c r="H156" s="362"/>
    </row>
    <row r="157" spans="1:8" ht="10.7" customHeight="1">
      <c r="A157" s="197"/>
      <c r="B157" s="198"/>
      <c r="C157" s="359"/>
      <c r="D157" s="359"/>
      <c r="E157" s="359"/>
      <c r="F157" s="359"/>
    </row>
    <row r="158" spans="1:8">
      <c r="A158" s="197" t="s">
        <v>164</v>
      </c>
      <c r="B158" s="198">
        <v>4344687.589999998</v>
      </c>
      <c r="C158" s="359">
        <v>3529583.2300000009</v>
      </c>
      <c r="D158" s="359">
        <v>3898628.370000002</v>
      </c>
      <c r="E158" s="359">
        <v>4137072.97</v>
      </c>
      <c r="F158" s="359">
        <v>4541384.6399999997</v>
      </c>
    </row>
    <row r="159" spans="1:8">
      <c r="A159" s="197" t="s">
        <v>540</v>
      </c>
      <c r="B159" s="198">
        <v>1111425.02</v>
      </c>
      <c r="C159" s="359">
        <v>1329470.27</v>
      </c>
      <c r="D159" s="359">
        <v>1208332.93</v>
      </c>
      <c r="E159" s="359">
        <v>1442392.46</v>
      </c>
      <c r="F159" s="359">
        <v>1355427.92</v>
      </c>
    </row>
    <row r="160" spans="1:8">
      <c r="A160" s="197" t="s">
        <v>168</v>
      </c>
      <c r="B160" s="198">
        <v>476495.4</v>
      </c>
      <c r="C160" s="359">
        <v>610357.98999999976</v>
      </c>
      <c r="D160" s="359">
        <v>491436.28</v>
      </c>
      <c r="E160" s="359">
        <v>630403.68000000005</v>
      </c>
      <c r="F160" s="359">
        <v>509234.80000000005</v>
      </c>
    </row>
    <row r="161" spans="1:8">
      <c r="A161" s="197" t="s">
        <v>546</v>
      </c>
      <c r="B161" s="198">
        <v>143325.99</v>
      </c>
      <c r="C161" s="359">
        <v>159042.47999999998</v>
      </c>
      <c r="D161" s="359">
        <v>147325.86000000002</v>
      </c>
      <c r="E161" s="359">
        <v>132509.29</v>
      </c>
      <c r="F161" s="359">
        <v>211225.4</v>
      </c>
    </row>
    <row r="162" spans="1:8">
      <c r="A162" s="772" t="s">
        <v>172</v>
      </c>
      <c r="B162" s="198">
        <v>1929334.2999999989</v>
      </c>
      <c r="C162" s="359">
        <v>1776285.3900000001</v>
      </c>
      <c r="D162" s="359">
        <v>2192495.17</v>
      </c>
      <c r="E162" s="359">
        <v>2123538.7200000002</v>
      </c>
      <c r="F162" s="359">
        <v>2428911.4400000013</v>
      </c>
    </row>
    <row r="163" spans="1:8" ht="18">
      <c r="A163" s="1382" t="s">
        <v>695</v>
      </c>
      <c r="B163" s="1382"/>
      <c r="C163" s="1382"/>
      <c r="D163" s="1382"/>
      <c r="E163" s="730"/>
    </row>
    <row r="164" spans="1:8" ht="15.75">
      <c r="A164" s="880" t="str">
        <f>A125</f>
        <v xml:space="preserve">Recordation Tax and Deeds of Conveyance Revenue Collections by Locality </v>
      </c>
      <c r="B164" s="880"/>
      <c r="C164" s="880"/>
      <c r="D164" s="880"/>
      <c r="E164" s="901"/>
      <c r="F164" s="902"/>
    </row>
    <row r="165" spans="1:8" ht="13.5" thickBot="1">
      <c r="A165" s="776"/>
      <c r="B165" s="776"/>
      <c r="C165" s="776"/>
      <c r="D165" s="776"/>
    </row>
    <row r="166" spans="1:8" ht="15" customHeight="1" thickTop="1">
      <c r="A166" s="762"/>
      <c r="B166" s="763" t="s">
        <v>33</v>
      </c>
      <c r="C166" s="763" t="s">
        <v>33</v>
      </c>
      <c r="D166" s="763" t="s">
        <v>33</v>
      </c>
      <c r="E166" s="763" t="s">
        <v>33</v>
      </c>
      <c r="F166" s="763" t="s">
        <v>33</v>
      </c>
    </row>
    <row r="167" spans="1:8">
      <c r="A167" s="765" t="s">
        <v>25</v>
      </c>
      <c r="B167" s="766">
        <f>B139</f>
        <v>2016</v>
      </c>
      <c r="C167" s="766">
        <f t="shared" ref="C167:E167" si="4">C139</f>
        <v>2017</v>
      </c>
      <c r="D167" s="766">
        <f t="shared" si="4"/>
        <v>2018</v>
      </c>
      <c r="E167" s="766">
        <f t="shared" si="4"/>
        <v>2019</v>
      </c>
      <c r="F167" s="766">
        <f>F139</f>
        <v>2020</v>
      </c>
    </row>
    <row r="168" spans="1:8" s="771" customFormat="1" ht="10.7" customHeight="1">
      <c r="A168" s="768"/>
      <c r="B168" s="770"/>
      <c r="C168" s="770"/>
      <c r="D168" s="770"/>
      <c r="E168" s="770"/>
      <c r="F168" s="770"/>
    </row>
    <row r="169" spans="1:8">
      <c r="A169" s="197" t="s">
        <v>425</v>
      </c>
      <c r="B169" s="361">
        <v>1799521.29</v>
      </c>
      <c r="C169" s="361">
        <v>2332359.7400000002</v>
      </c>
      <c r="D169" s="361">
        <v>2688583.11</v>
      </c>
      <c r="E169" s="361">
        <v>2586803.04</v>
      </c>
      <c r="F169" s="361">
        <v>2758790.26</v>
      </c>
      <c r="G169" s="362"/>
    </row>
    <row r="170" spans="1:8">
      <c r="A170" s="197" t="s">
        <v>429</v>
      </c>
      <c r="B170" s="359">
        <v>547439.52</v>
      </c>
      <c r="C170" s="359">
        <v>638462.66</v>
      </c>
      <c r="D170" s="521">
        <v>1102933.04</v>
      </c>
      <c r="E170" s="521">
        <v>764771.03</v>
      </c>
      <c r="F170" s="521">
        <v>894547.54999999993</v>
      </c>
    </row>
    <row r="171" spans="1:8">
      <c r="A171" s="197" t="s">
        <v>178</v>
      </c>
      <c r="B171" s="359">
        <v>171840.43999999997</v>
      </c>
      <c r="C171" s="359">
        <v>278063.12000000005</v>
      </c>
      <c r="D171" s="521">
        <v>126146.64000000001</v>
      </c>
      <c r="E171" s="521">
        <v>171912.79</v>
      </c>
      <c r="F171" s="521">
        <v>353097.32</v>
      </c>
      <c r="G171" s="364"/>
      <c r="H171" s="362"/>
    </row>
    <row r="172" spans="1:8">
      <c r="A172" s="197" t="s">
        <v>180</v>
      </c>
      <c r="B172" s="359">
        <v>4930330.8899999987</v>
      </c>
      <c r="C172" s="359">
        <v>5310604.9699999979</v>
      </c>
      <c r="D172" s="521">
        <v>4697436.2300000014</v>
      </c>
      <c r="E172" s="521">
        <v>4623860.3499999996</v>
      </c>
      <c r="F172" s="521">
        <v>6204195.7899999991</v>
      </c>
    </row>
    <row r="173" spans="1:8">
      <c r="A173" s="197" t="s">
        <v>182</v>
      </c>
      <c r="B173" s="359">
        <v>8256361.2999999989</v>
      </c>
      <c r="C173" s="359">
        <v>7540899.04</v>
      </c>
      <c r="D173" s="521">
        <v>8101583.7900000028</v>
      </c>
      <c r="E173" s="521">
        <v>8958525.0299999993</v>
      </c>
      <c r="F173" s="521">
        <v>10219944.739999998</v>
      </c>
    </row>
    <row r="174" spans="1:8" ht="10.7" customHeight="1">
      <c r="A174" s="197"/>
      <c r="B174" s="359"/>
      <c r="C174" s="359"/>
      <c r="D174" s="521"/>
      <c r="E174" s="521"/>
      <c r="F174" s="521"/>
    </row>
    <row r="175" spans="1:8">
      <c r="A175" s="197" t="s">
        <v>445</v>
      </c>
      <c r="B175" s="359">
        <v>84398.76</v>
      </c>
      <c r="C175" s="359">
        <v>80173.829999999987</v>
      </c>
      <c r="D175" s="521">
        <v>47697.149999999994</v>
      </c>
      <c r="E175" s="521">
        <v>33539.14</v>
      </c>
      <c r="F175" s="521">
        <v>34126.039999999994</v>
      </c>
      <c r="G175" s="360"/>
    </row>
    <row r="176" spans="1:8">
      <c r="A176" s="197" t="s">
        <v>186</v>
      </c>
      <c r="B176" s="359">
        <v>456021.7</v>
      </c>
      <c r="C176" s="359">
        <v>583023.69000000006</v>
      </c>
      <c r="D176" s="521">
        <v>724052.32999999973</v>
      </c>
      <c r="E176" s="521">
        <v>689506.03</v>
      </c>
      <c r="F176" s="521">
        <v>994761.70999999973</v>
      </c>
    </row>
    <row r="177" spans="1:6">
      <c r="A177" s="197" t="s">
        <v>453</v>
      </c>
      <c r="B177" s="359">
        <v>479095.51999999996</v>
      </c>
      <c r="C177" s="359">
        <v>556923.15</v>
      </c>
      <c r="D177" s="359">
        <v>517639.78999999992</v>
      </c>
      <c r="E177" s="359">
        <v>481022.93</v>
      </c>
      <c r="F177" s="359">
        <v>656793.40999999992</v>
      </c>
    </row>
    <row r="178" spans="1:6">
      <c r="A178" s="197" t="s">
        <v>190</v>
      </c>
      <c r="B178" s="359">
        <v>2381920.1800000002</v>
      </c>
      <c r="C178" s="359">
        <v>2757641.7899999996</v>
      </c>
      <c r="D178" s="359">
        <v>2768361.3500000006</v>
      </c>
      <c r="E178" s="359">
        <v>2715464.43</v>
      </c>
      <c r="F178" s="359">
        <v>3434800.6300000004</v>
      </c>
    </row>
    <row r="179" spans="1:6">
      <c r="A179" s="197" t="s">
        <v>192</v>
      </c>
      <c r="B179" s="359">
        <v>251801.69999999998</v>
      </c>
      <c r="C179" s="359">
        <v>272995.55</v>
      </c>
      <c r="D179" s="359">
        <v>393001.90000000008</v>
      </c>
      <c r="E179" s="359">
        <v>208553.1</v>
      </c>
      <c r="F179" s="359">
        <v>508418.05000000016</v>
      </c>
    </row>
    <row r="180" spans="1:6" ht="10.7" customHeight="1">
      <c r="A180" s="197"/>
      <c r="B180" s="359"/>
      <c r="C180" s="359"/>
      <c r="D180" s="359"/>
      <c r="E180" s="359"/>
      <c r="F180" s="359"/>
    </row>
    <row r="181" spans="1:6">
      <c r="A181" s="197" t="s">
        <v>156</v>
      </c>
      <c r="B181" s="359">
        <v>9425440.1099999957</v>
      </c>
      <c r="C181" s="359">
        <v>10032563.970000001</v>
      </c>
      <c r="D181" s="359">
        <v>10745574.750000004</v>
      </c>
      <c r="E181" s="359">
        <v>11089877.02</v>
      </c>
      <c r="F181" s="359">
        <v>13287241.229999999</v>
      </c>
    </row>
    <row r="182" spans="1:6">
      <c r="A182" s="197" t="s">
        <v>27</v>
      </c>
      <c r="B182" s="359">
        <v>2596749.5999999992</v>
      </c>
      <c r="C182" s="359">
        <v>2528439.850000001</v>
      </c>
      <c r="D182" s="359">
        <v>2728056.2100000004</v>
      </c>
      <c r="E182" s="359">
        <v>2734246.68</v>
      </c>
      <c r="F182" s="359">
        <v>3350488.7399999993</v>
      </c>
    </row>
    <row r="183" spans="1:6">
      <c r="A183" s="197" t="s">
        <v>193</v>
      </c>
      <c r="B183" s="359">
        <v>710953.95000000007</v>
      </c>
      <c r="C183" s="359">
        <v>686609.73999999976</v>
      </c>
      <c r="D183" s="359">
        <v>877400.71000000008</v>
      </c>
      <c r="E183" s="359">
        <v>714536.46</v>
      </c>
      <c r="F183" s="359">
        <v>807080.85</v>
      </c>
    </row>
    <row r="184" spans="1:6">
      <c r="A184" s="197" t="s">
        <v>194</v>
      </c>
      <c r="B184" s="359">
        <v>560474.21000000008</v>
      </c>
      <c r="C184" s="359">
        <v>634552.8200000003</v>
      </c>
      <c r="D184" s="359">
        <v>789628.69999999984</v>
      </c>
      <c r="E184" s="359">
        <v>753257.27</v>
      </c>
      <c r="F184" s="359">
        <v>787650.24</v>
      </c>
    </row>
    <row r="185" spans="1:6">
      <c r="A185" s="197" t="s">
        <v>195</v>
      </c>
      <c r="B185" s="359">
        <v>3676014.4200000004</v>
      </c>
      <c r="C185" s="359">
        <v>3757204.399999999</v>
      </c>
      <c r="D185" s="359">
        <v>4846509.4899999993</v>
      </c>
      <c r="E185" s="359">
        <v>4677408.2300000004</v>
      </c>
      <c r="F185" s="359">
        <v>6133052.1700000018</v>
      </c>
    </row>
    <row r="186" spans="1:6" ht="10.7" customHeight="1">
      <c r="A186" s="197"/>
      <c r="B186" s="359"/>
      <c r="C186" s="359"/>
      <c r="D186" s="359"/>
      <c r="E186" s="359"/>
      <c r="F186" s="359"/>
    </row>
    <row r="187" spans="1:6">
      <c r="A187" s="197" t="s">
        <v>697</v>
      </c>
      <c r="B187" s="359">
        <v>19903921.919999994</v>
      </c>
      <c r="C187" s="359">
        <v>21344156.470000003</v>
      </c>
      <c r="D187" s="359">
        <v>20224602.759999998</v>
      </c>
      <c r="E187" s="359">
        <v>20763271</v>
      </c>
      <c r="F187" s="359">
        <v>26215390.72000001</v>
      </c>
    </row>
    <row r="188" spans="1:6">
      <c r="A188" s="197" t="s">
        <v>197</v>
      </c>
      <c r="B188" s="359">
        <v>537978.95999999973</v>
      </c>
      <c r="C188" s="359">
        <v>619224.23999999987</v>
      </c>
      <c r="D188" s="359">
        <v>633189.14</v>
      </c>
      <c r="E188" s="359">
        <v>619963.27</v>
      </c>
      <c r="F188" s="359">
        <v>881698.49999999988</v>
      </c>
    </row>
    <row r="189" spans="1:6">
      <c r="A189" s="197" t="s">
        <v>489</v>
      </c>
      <c r="B189" s="359">
        <v>543353.5299999998</v>
      </c>
      <c r="C189" s="359">
        <v>710085.36</v>
      </c>
      <c r="D189" s="359">
        <v>1118442.399999999</v>
      </c>
      <c r="E189" s="359">
        <v>583808.59</v>
      </c>
      <c r="F189" s="359">
        <v>857764.64000000013</v>
      </c>
    </row>
    <row r="190" spans="1:6">
      <c r="A190" s="197" t="s">
        <v>201</v>
      </c>
      <c r="B190" s="359">
        <v>969940.35999999987</v>
      </c>
      <c r="C190" s="359">
        <v>1250329.02</v>
      </c>
      <c r="D190" s="359">
        <v>990755.91</v>
      </c>
      <c r="E190" s="359">
        <v>1054096.8500000001</v>
      </c>
      <c r="F190" s="359">
        <v>1168017.3999999997</v>
      </c>
    </row>
    <row r="191" spans="1:6" s="771" customFormat="1" ht="10.7" customHeight="1">
      <c r="A191" s="781"/>
      <c r="B191" s="781"/>
      <c r="E191" s="770"/>
      <c r="F191" s="770"/>
    </row>
    <row r="192" spans="1:6">
      <c r="A192" s="782" t="s">
        <v>29</v>
      </c>
      <c r="B192" s="783">
        <f>SUM(B141:B162,B169:B190)</f>
        <v>100420697.55999997</v>
      </c>
      <c r="C192" s="783">
        <f>SUM(C141:C162,C169:C190)</f>
        <v>103582882.12999998</v>
      </c>
      <c r="D192" s="783">
        <f>SUM(D141:D162,D169:D190)</f>
        <v>111184008.08999999</v>
      </c>
      <c r="E192" s="783">
        <f>SUM(E141:E162,E169:E190)</f>
        <v>109460069.98999999</v>
      </c>
      <c r="F192" s="783">
        <f>SUM(F141:F162,F169:F190)</f>
        <v>132666677.06</v>
      </c>
    </row>
    <row r="193" spans="1:6">
      <c r="A193" s="782" t="s">
        <v>24</v>
      </c>
      <c r="B193" s="783">
        <f>SUM(B7:B41,B48:B82,B89:B123,B130:B134)</f>
        <v>298077573.12</v>
      </c>
      <c r="C193" s="783">
        <f>SUM(C7:C41,C48:C82,C89:C123,C130:C134)</f>
        <v>323500358.88</v>
      </c>
      <c r="D193" s="783">
        <f>SUM(D7:D41,D48:D82,D89:D123,D130:D134)</f>
        <v>317011492.09000015</v>
      </c>
      <c r="E193" s="783">
        <f>SUM(E7:E41,E48:E82,E89:E123,E130:E134)</f>
        <v>309985515.51999992</v>
      </c>
      <c r="F193" s="783">
        <f>SUM(F7:F41,F48:F82,F89:F123,F130:F134)</f>
        <v>394179563.19000024</v>
      </c>
    </row>
    <row r="194" spans="1:6">
      <c r="B194" s="786"/>
      <c r="C194" s="787"/>
      <c r="D194" s="787"/>
      <c r="E194" s="788"/>
      <c r="F194" s="788"/>
    </row>
    <row r="195" spans="1:6">
      <c r="A195" s="782" t="s">
        <v>30</v>
      </c>
      <c r="B195" s="783">
        <f>SUM(B192:B193)</f>
        <v>398498270.67999995</v>
      </c>
      <c r="C195" s="783">
        <f>SUM(C192:C193)</f>
        <v>427083241.00999999</v>
      </c>
      <c r="D195" s="783">
        <f>SUM(D192:D193)</f>
        <v>428195500.18000013</v>
      </c>
      <c r="E195" s="783">
        <f>SUM(E192:E193)</f>
        <v>419445585.50999993</v>
      </c>
      <c r="F195" s="783">
        <f>SUM(F192:F193)</f>
        <v>526846240.25000024</v>
      </c>
    </row>
    <row r="196" spans="1:6">
      <c r="A196" s="789"/>
      <c r="B196" s="790"/>
      <c r="C196" s="790"/>
      <c r="D196" s="790"/>
    </row>
    <row r="197" spans="1:6">
      <c r="A197" s="743" t="s">
        <v>1</v>
      </c>
    </row>
    <row r="198" spans="1:6">
      <c r="A198" s="744" t="s">
        <v>908</v>
      </c>
    </row>
    <row r="199" spans="1:6">
      <c r="A199" s="890" t="s">
        <v>944</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4">
    <mergeCell ref="A163:D163"/>
    <mergeCell ref="A42:D42"/>
    <mergeCell ref="A83:D83"/>
    <mergeCell ref="A124:D124"/>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2"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110"/>
  <sheetViews>
    <sheetView zoomScaleNormal="100" workbookViewId="0"/>
  </sheetViews>
  <sheetFormatPr defaultColWidth="9.140625" defaultRowHeight="12.75"/>
  <cols>
    <col min="1" max="1" width="30.42578125" style="722" customWidth="1"/>
    <col min="2" max="2" width="21.28515625" style="722" bestFit="1" customWidth="1"/>
    <col min="3" max="3" width="6.140625" style="722" customWidth="1"/>
    <col min="4" max="4" width="26.28515625" style="722" bestFit="1" customWidth="1"/>
    <col min="5" max="5" width="19.42578125" style="722" bestFit="1" customWidth="1"/>
    <col min="6" max="6" width="6.140625" style="368" customWidth="1"/>
    <col min="7" max="7" width="24" style="722" bestFit="1" customWidth="1"/>
    <col min="8" max="8" width="19.42578125" style="722" bestFit="1" customWidth="1"/>
    <col min="9" max="9" width="6.140625" style="722" customWidth="1"/>
    <col min="10" max="10" width="23.42578125" style="722" bestFit="1" customWidth="1"/>
    <col min="11" max="11" width="20.28515625" style="722" bestFit="1" customWidth="1"/>
    <col min="12" max="12" width="2.42578125" style="722" customWidth="1"/>
    <col min="13" max="13" width="16" style="722" bestFit="1" customWidth="1"/>
    <col min="14" max="16384" width="9.140625" style="722"/>
  </cols>
  <sheetData>
    <row r="1" spans="1:13" ht="18.75">
      <c r="A1" s="720" t="s">
        <v>420</v>
      </c>
      <c r="B1" s="721"/>
    </row>
    <row r="2" spans="1:13" ht="16.5">
      <c r="A2" s="723" t="s">
        <v>1160</v>
      </c>
      <c r="B2" s="721"/>
    </row>
    <row r="3" spans="1:13" ht="15.75" thickBot="1">
      <c r="A3" s="724"/>
      <c r="B3" s="721"/>
    </row>
    <row r="4" spans="1:13">
      <c r="A4" s="725"/>
      <c r="B4" s="726"/>
      <c r="D4" s="725"/>
      <c r="E4" s="726"/>
      <c r="G4" s="725"/>
      <c r="H4" s="726"/>
      <c r="J4" s="725"/>
      <c r="K4" s="726"/>
    </row>
    <row r="5" spans="1:13">
      <c r="A5" s="727" t="s">
        <v>23</v>
      </c>
      <c r="B5" s="728" t="s">
        <v>421</v>
      </c>
      <c r="D5" s="727" t="s">
        <v>23</v>
      </c>
      <c r="E5" s="728" t="s">
        <v>421</v>
      </c>
      <c r="G5" s="727" t="s">
        <v>23</v>
      </c>
      <c r="H5" s="728" t="s">
        <v>421</v>
      </c>
      <c r="J5" s="727" t="s">
        <v>25</v>
      </c>
      <c r="K5" s="728" t="s">
        <v>421</v>
      </c>
    </row>
    <row r="6" spans="1:13">
      <c r="A6" s="368" t="s">
        <v>422</v>
      </c>
      <c r="B6" s="729">
        <v>851561.24</v>
      </c>
      <c r="C6" s="369"/>
      <c r="D6" s="368" t="s">
        <v>423</v>
      </c>
      <c r="E6" s="729">
        <v>962418.24</v>
      </c>
      <c r="F6" s="369"/>
      <c r="G6" s="368" t="s">
        <v>424</v>
      </c>
      <c r="H6" s="729">
        <v>642160.91</v>
      </c>
      <c r="I6" s="369"/>
      <c r="J6" s="368" t="s">
        <v>429</v>
      </c>
      <c r="K6" s="729">
        <v>605733.03</v>
      </c>
      <c r="L6" s="369"/>
      <c r="M6" s="730"/>
    </row>
    <row r="7" spans="1:13">
      <c r="A7" s="368" t="s">
        <v>426</v>
      </c>
      <c r="B7" s="369">
        <v>3835900.19</v>
      </c>
      <c r="C7" s="369"/>
      <c r="D7" s="368" t="s">
        <v>427</v>
      </c>
      <c r="E7" s="369">
        <v>4123729.07</v>
      </c>
      <c r="F7" s="369"/>
      <c r="G7" s="368" t="s">
        <v>428</v>
      </c>
      <c r="H7" s="369">
        <v>987991.51</v>
      </c>
      <c r="I7" s="369"/>
      <c r="J7" s="368" t="s">
        <v>433</v>
      </c>
      <c r="K7" s="369">
        <v>752893.08</v>
      </c>
      <c r="L7" s="369"/>
      <c r="M7" s="730"/>
    </row>
    <row r="8" spans="1:13">
      <c r="A8" s="368" t="s">
        <v>430</v>
      </c>
      <c r="B8" s="369">
        <v>343016.54</v>
      </c>
      <c r="C8" s="369"/>
      <c r="D8" s="368" t="s">
        <v>431</v>
      </c>
      <c r="E8" s="369">
        <v>10890735.310000001</v>
      </c>
      <c r="F8" s="369"/>
      <c r="G8" s="368" t="s">
        <v>432</v>
      </c>
      <c r="H8" s="369">
        <v>487504.55</v>
      </c>
      <c r="I8" s="369"/>
      <c r="J8" s="368" t="s">
        <v>437</v>
      </c>
      <c r="K8" s="369">
        <v>9648656.7699999996</v>
      </c>
      <c r="L8" s="369"/>
      <c r="M8" s="730"/>
    </row>
    <row r="9" spans="1:13">
      <c r="A9" s="368" t="s">
        <v>434</v>
      </c>
      <c r="B9" s="369">
        <v>210311.83</v>
      </c>
      <c r="C9" s="369"/>
      <c r="D9" s="368" t="s">
        <v>435</v>
      </c>
      <c r="E9" s="369">
        <v>1923200.61</v>
      </c>
      <c r="F9" s="369"/>
      <c r="G9" s="368" t="s">
        <v>436</v>
      </c>
      <c r="H9" s="369">
        <v>461504.93</v>
      </c>
      <c r="I9" s="369"/>
      <c r="J9" s="368" t="s">
        <v>441</v>
      </c>
      <c r="K9" s="369">
        <v>18136297.620000001</v>
      </c>
      <c r="L9" s="369"/>
      <c r="M9" s="730"/>
    </row>
    <row r="10" spans="1:13">
      <c r="A10" s="368" t="s">
        <v>438</v>
      </c>
      <c r="B10" s="369">
        <v>1048381.11</v>
      </c>
      <c r="C10" s="369"/>
      <c r="D10" s="368" t="s">
        <v>439</v>
      </c>
      <c r="E10" s="369">
        <v>62507.16</v>
      </c>
      <c r="F10" s="369"/>
      <c r="G10" s="368" t="s">
        <v>440</v>
      </c>
      <c r="H10" s="369">
        <v>3903370.22</v>
      </c>
      <c r="I10" s="369"/>
      <c r="J10" s="368" t="s">
        <v>445</v>
      </c>
      <c r="K10" s="369">
        <v>174850.92</v>
      </c>
      <c r="L10" s="369"/>
      <c r="M10" s="730"/>
    </row>
    <row r="11" spans="1:13">
      <c r="A11" s="368"/>
      <c r="B11" s="369"/>
      <c r="C11" s="369"/>
      <c r="D11" s="368"/>
      <c r="E11" s="369"/>
      <c r="F11" s="369"/>
      <c r="G11" s="368"/>
      <c r="H11" s="369"/>
      <c r="I11" s="369"/>
      <c r="J11" s="368"/>
      <c r="K11" s="369"/>
      <c r="L11" s="369"/>
      <c r="M11" s="730"/>
    </row>
    <row r="12" spans="1:13">
      <c r="A12" s="368" t="s">
        <v>442</v>
      </c>
      <c r="B12" s="369">
        <v>466620.32</v>
      </c>
      <c r="C12" s="369"/>
      <c r="D12" s="368" t="s">
        <v>934</v>
      </c>
      <c r="E12" s="369">
        <v>1103544.51</v>
      </c>
      <c r="F12" s="369"/>
      <c r="G12" s="368" t="s">
        <v>444</v>
      </c>
      <c r="H12" s="369">
        <v>4799313.04</v>
      </c>
      <c r="I12" s="369"/>
      <c r="J12" s="368" t="s">
        <v>449</v>
      </c>
      <c r="K12" s="369">
        <v>1523055.7</v>
      </c>
      <c r="L12" s="369"/>
      <c r="M12" s="730"/>
    </row>
    <row r="13" spans="1:13">
      <c r="A13" s="368" t="s">
        <v>446</v>
      </c>
      <c r="B13" s="369">
        <v>6224646.7800000003</v>
      </c>
      <c r="C13" s="369"/>
      <c r="D13" s="368" t="s">
        <v>447</v>
      </c>
      <c r="E13" s="369">
        <v>1411938.83</v>
      </c>
      <c r="F13" s="369"/>
      <c r="G13" s="368" t="s">
        <v>448</v>
      </c>
      <c r="H13" s="369">
        <v>42562.1</v>
      </c>
      <c r="I13" s="369"/>
      <c r="J13" s="368" t="s">
        <v>453</v>
      </c>
      <c r="K13" s="369">
        <v>341554</v>
      </c>
      <c r="L13" s="369"/>
      <c r="M13" s="730"/>
    </row>
    <row r="14" spans="1:13">
      <c r="A14" s="368" t="s">
        <v>450</v>
      </c>
      <c r="B14" s="369">
        <v>2070423.06</v>
      </c>
      <c r="C14" s="369"/>
      <c r="D14" s="368" t="s">
        <v>935</v>
      </c>
      <c r="E14" s="369">
        <v>145447.99</v>
      </c>
      <c r="F14" s="369"/>
      <c r="G14" s="368" t="s">
        <v>452</v>
      </c>
      <c r="H14" s="369">
        <v>145177.72</v>
      </c>
      <c r="I14" s="369"/>
      <c r="J14" s="368" t="s">
        <v>457</v>
      </c>
      <c r="K14" s="369">
        <v>6876099.1200000001</v>
      </c>
      <c r="L14" s="369"/>
      <c r="M14" s="730"/>
    </row>
    <row r="15" spans="1:13">
      <c r="A15" s="368" t="s">
        <v>454</v>
      </c>
      <c r="B15" s="369">
        <v>95604.47</v>
      </c>
      <c r="C15" s="369"/>
      <c r="D15" s="368" t="s">
        <v>455</v>
      </c>
      <c r="E15" s="369">
        <v>320489.53999999998</v>
      </c>
      <c r="F15" s="369"/>
      <c r="G15" s="368" t="s">
        <v>456</v>
      </c>
      <c r="H15" s="369">
        <v>498431.83</v>
      </c>
      <c r="I15" s="369"/>
      <c r="J15" s="368" t="s">
        <v>461</v>
      </c>
      <c r="K15" s="369">
        <v>618018.89</v>
      </c>
      <c r="L15" s="369"/>
      <c r="M15" s="730"/>
    </row>
    <row r="16" spans="1:13">
      <c r="A16" s="731" t="s">
        <v>931</v>
      </c>
      <c r="B16" s="369">
        <v>1586193.61</v>
      </c>
      <c r="C16" s="369"/>
      <c r="D16" s="368" t="s">
        <v>459</v>
      </c>
      <c r="E16" s="369">
        <v>296877.81</v>
      </c>
      <c r="F16" s="369"/>
      <c r="G16" s="368" t="s">
        <v>460</v>
      </c>
      <c r="H16" s="369">
        <v>737699.5</v>
      </c>
      <c r="I16" s="369"/>
      <c r="J16" s="368" t="s">
        <v>870</v>
      </c>
      <c r="K16" s="369">
        <v>16989490.879999999</v>
      </c>
      <c r="L16" s="369"/>
      <c r="M16" s="730"/>
    </row>
    <row r="17" spans="1:13">
      <c r="B17" s="369"/>
      <c r="C17" s="369"/>
      <c r="D17" s="368"/>
      <c r="E17" s="369"/>
      <c r="F17" s="369"/>
      <c r="I17" s="369"/>
      <c r="J17" s="368"/>
      <c r="K17" s="369"/>
      <c r="L17" s="369"/>
      <c r="M17" s="730"/>
    </row>
    <row r="18" spans="1:13">
      <c r="A18" s="368" t="s">
        <v>462</v>
      </c>
      <c r="B18" s="369">
        <v>86555.54</v>
      </c>
      <c r="C18" s="369"/>
      <c r="D18" s="368" t="s">
        <v>463</v>
      </c>
      <c r="E18" s="369">
        <v>274336.97000000003</v>
      </c>
      <c r="F18" s="369"/>
      <c r="G18" s="368" t="s">
        <v>464</v>
      </c>
      <c r="H18" s="369">
        <v>1338746.9100000001</v>
      </c>
      <c r="I18" s="369"/>
      <c r="J18" s="368" t="s">
        <v>871</v>
      </c>
      <c r="K18" s="369">
        <v>5758948.3200000003</v>
      </c>
      <c r="L18" s="369"/>
      <c r="M18" s="730"/>
    </row>
    <row r="19" spans="1:13">
      <c r="A19" s="368" t="s">
        <v>466</v>
      </c>
      <c r="B19" s="369">
        <v>592573.79</v>
      </c>
      <c r="C19" s="369"/>
      <c r="D19" s="368" t="s">
        <v>467</v>
      </c>
      <c r="E19" s="369">
        <v>348669.04</v>
      </c>
      <c r="F19" s="369"/>
      <c r="G19" s="368" t="s">
        <v>468</v>
      </c>
      <c r="H19" s="369">
        <v>527106.97</v>
      </c>
      <c r="I19" s="369"/>
      <c r="J19" s="368" t="s">
        <v>473</v>
      </c>
      <c r="K19" s="369">
        <v>885126.46</v>
      </c>
      <c r="L19" s="369"/>
      <c r="M19" s="730"/>
    </row>
    <row r="20" spans="1:13">
      <c r="A20" s="368" t="s">
        <v>470</v>
      </c>
      <c r="B20" s="369">
        <v>346790.67</v>
      </c>
      <c r="C20" s="369"/>
      <c r="D20" s="368" t="s">
        <v>471</v>
      </c>
      <c r="E20" s="369">
        <v>9633380.0700000003</v>
      </c>
      <c r="F20" s="369"/>
      <c r="G20" s="368" t="s">
        <v>472</v>
      </c>
      <c r="H20" s="369">
        <v>831654.33</v>
      </c>
      <c r="I20" s="369"/>
      <c r="J20" s="368" t="s">
        <v>477</v>
      </c>
      <c r="K20" s="369">
        <v>1158077.1100000001</v>
      </c>
      <c r="L20" s="369"/>
      <c r="M20" s="730"/>
    </row>
    <row r="21" spans="1:13">
      <c r="A21" s="368" t="s">
        <v>474</v>
      </c>
      <c r="B21" s="369">
        <v>699427.91</v>
      </c>
      <c r="C21" s="369"/>
      <c r="D21" s="368" t="s">
        <v>475</v>
      </c>
      <c r="E21" s="369">
        <v>287919</v>
      </c>
      <c r="F21" s="369"/>
      <c r="G21" s="368" t="s">
        <v>476</v>
      </c>
      <c r="H21" s="369">
        <v>631642.55000000005</v>
      </c>
      <c r="I21" s="369"/>
      <c r="J21" s="368" t="s">
        <v>481</v>
      </c>
      <c r="K21" s="369">
        <v>2901224.81</v>
      </c>
      <c r="L21" s="369"/>
      <c r="M21" s="730"/>
    </row>
    <row r="22" spans="1:13">
      <c r="A22" s="368" t="s">
        <v>478</v>
      </c>
      <c r="B22" s="369">
        <v>350731.15</v>
      </c>
      <c r="C22" s="369"/>
      <c r="D22" s="368" t="s">
        <v>479</v>
      </c>
      <c r="E22" s="369">
        <v>170924.3</v>
      </c>
      <c r="F22" s="369"/>
      <c r="G22" s="368" t="s">
        <v>480</v>
      </c>
      <c r="H22" s="369">
        <v>1089238.1399999999</v>
      </c>
      <c r="I22" s="369"/>
      <c r="J22" s="368"/>
      <c r="K22" s="369"/>
      <c r="L22" s="369"/>
      <c r="M22" s="730"/>
    </row>
    <row r="23" spans="1:13">
      <c r="B23" s="369"/>
      <c r="C23" s="369"/>
      <c r="D23" s="368"/>
      <c r="E23" s="369"/>
      <c r="F23" s="369"/>
      <c r="G23" s="732" t="s">
        <v>24</v>
      </c>
      <c r="H23" s="733">
        <f>SUM(B6:B52,E6:E52,H6:H22)</f>
        <v>195529927.08000007</v>
      </c>
      <c r="J23" s="368" t="s">
        <v>28</v>
      </c>
      <c r="K23" s="369">
        <v>21633104.43</v>
      </c>
      <c r="L23" s="369"/>
      <c r="M23" s="730"/>
    </row>
    <row r="24" spans="1:13">
      <c r="A24" s="368" t="s">
        <v>482</v>
      </c>
      <c r="B24" s="369">
        <v>1153256.33</v>
      </c>
      <c r="C24" s="369"/>
      <c r="D24" s="368" t="s">
        <v>483</v>
      </c>
      <c r="E24" s="369">
        <v>481086.04</v>
      </c>
      <c r="F24" s="369"/>
      <c r="G24" s="734"/>
      <c r="H24" s="735"/>
      <c r="J24" s="368" t="s">
        <v>486</v>
      </c>
      <c r="K24" s="369">
        <v>1074758.52</v>
      </c>
      <c r="L24" s="369"/>
      <c r="M24" s="730"/>
    </row>
    <row r="25" spans="1:13">
      <c r="A25" s="368" t="s">
        <v>484</v>
      </c>
      <c r="B25" s="369">
        <v>649865.07000000007</v>
      </c>
      <c r="C25" s="369"/>
      <c r="D25" s="368" t="s">
        <v>485</v>
      </c>
      <c r="E25" s="369">
        <v>371504.45</v>
      </c>
      <c r="F25" s="369"/>
      <c r="G25" s="734"/>
      <c r="H25" s="735"/>
      <c r="J25" s="368" t="s">
        <v>489</v>
      </c>
      <c r="K25" s="369">
        <v>595353.26</v>
      </c>
      <c r="L25" s="369"/>
      <c r="M25" s="730"/>
    </row>
    <row r="26" spans="1:13">
      <c r="A26" s="368" t="s">
        <v>487</v>
      </c>
      <c r="B26" s="369">
        <v>837757.41</v>
      </c>
      <c r="C26" s="369"/>
      <c r="D26" s="368" t="s">
        <v>488</v>
      </c>
      <c r="E26" s="369">
        <v>477772.81</v>
      </c>
      <c r="F26" s="369"/>
      <c r="G26" s="734"/>
      <c r="H26" s="735"/>
      <c r="J26" s="368" t="s">
        <v>492</v>
      </c>
      <c r="K26" s="369">
        <v>1769840.5</v>
      </c>
      <c r="L26" s="369"/>
      <c r="M26" s="730"/>
    </row>
    <row r="27" spans="1:13" ht="13.5" thickBot="1">
      <c r="A27" s="368" t="s">
        <v>490</v>
      </c>
      <c r="B27" s="369">
        <v>128098.78</v>
      </c>
      <c r="C27" s="369"/>
      <c r="D27" s="368" t="s">
        <v>491</v>
      </c>
      <c r="E27" s="369">
        <v>363637.41</v>
      </c>
      <c r="F27" s="369"/>
      <c r="J27" s="368"/>
      <c r="K27" s="369"/>
      <c r="L27" s="369"/>
      <c r="M27" s="730"/>
    </row>
    <row r="28" spans="1:13">
      <c r="A28" s="368" t="s">
        <v>493</v>
      </c>
      <c r="B28" s="369">
        <v>106403.57</v>
      </c>
      <c r="C28" s="369"/>
      <c r="D28" s="368" t="s">
        <v>494</v>
      </c>
      <c r="E28" s="369">
        <v>843461.93</v>
      </c>
      <c r="F28" s="369"/>
      <c r="G28" s="725"/>
      <c r="H28" s="726"/>
      <c r="J28" s="732" t="s">
        <v>29</v>
      </c>
      <c r="K28" s="733">
        <f>SUM(K6:K27,H30:H52)</f>
        <v>137188448.25999999</v>
      </c>
      <c r="M28" s="730"/>
    </row>
    <row r="29" spans="1:13">
      <c r="B29" s="369"/>
      <c r="C29" s="369"/>
      <c r="D29" s="368"/>
      <c r="E29" s="369"/>
      <c r="F29" s="369"/>
      <c r="G29" s="727" t="s">
        <v>25</v>
      </c>
      <c r="H29" s="728" t="s">
        <v>421</v>
      </c>
      <c r="M29" s="730"/>
    </row>
    <row r="30" spans="1:13">
      <c r="A30" s="368" t="s">
        <v>495</v>
      </c>
      <c r="B30" s="369">
        <v>12059084.67</v>
      </c>
      <c r="C30" s="369"/>
      <c r="D30" s="368" t="s">
        <v>496</v>
      </c>
      <c r="E30" s="369">
        <v>392412.93</v>
      </c>
      <c r="F30" s="369"/>
      <c r="G30" s="368" t="s">
        <v>497</v>
      </c>
      <c r="H30" s="729">
        <v>8951731.1300000008</v>
      </c>
      <c r="I30" s="369"/>
      <c r="M30" s="730"/>
    </row>
    <row r="31" spans="1:13">
      <c r="A31" s="368" t="s">
        <v>498</v>
      </c>
      <c r="B31" s="369">
        <v>355676.69</v>
      </c>
      <c r="C31" s="369"/>
      <c r="D31" s="368" t="s">
        <v>499</v>
      </c>
      <c r="E31" s="369">
        <v>493780.9</v>
      </c>
      <c r="F31" s="369"/>
      <c r="G31" s="368" t="s">
        <v>502</v>
      </c>
      <c r="H31" s="369">
        <v>502143.61</v>
      </c>
      <c r="I31" s="369"/>
      <c r="M31" s="730"/>
    </row>
    <row r="32" spans="1:13">
      <c r="A32" s="368" t="s">
        <v>500</v>
      </c>
      <c r="B32" s="369">
        <v>95604.45</v>
      </c>
      <c r="C32" s="369"/>
      <c r="D32" s="368" t="s">
        <v>501</v>
      </c>
      <c r="E32" s="369">
        <v>420675.68</v>
      </c>
      <c r="F32" s="369"/>
      <c r="G32" s="368" t="s">
        <v>505</v>
      </c>
      <c r="H32" s="369">
        <v>261070.3</v>
      </c>
      <c r="I32" s="369"/>
      <c r="M32" s="730"/>
    </row>
    <row r="33" spans="1:13">
      <c r="A33" s="368" t="s">
        <v>503</v>
      </c>
      <c r="B33" s="369">
        <v>1685197.9500000002</v>
      </c>
      <c r="C33" s="369"/>
      <c r="D33" s="368" t="s">
        <v>504</v>
      </c>
      <c r="E33" s="369">
        <v>316729.25</v>
      </c>
      <c r="F33" s="369"/>
      <c r="G33" s="368" t="s">
        <v>508</v>
      </c>
      <c r="H33" s="369">
        <v>2652228.98</v>
      </c>
      <c r="I33" s="369"/>
      <c r="M33" s="730"/>
    </row>
    <row r="34" spans="1:13">
      <c r="A34" s="368" t="s">
        <v>506</v>
      </c>
      <c r="B34" s="369">
        <v>316947.61</v>
      </c>
      <c r="C34" s="369"/>
      <c r="D34" s="368" t="s">
        <v>507</v>
      </c>
      <c r="E34" s="369">
        <v>287686.8</v>
      </c>
      <c r="F34" s="369"/>
      <c r="G34" s="368" t="s">
        <v>511</v>
      </c>
      <c r="H34" s="369">
        <v>9850741.1300000008</v>
      </c>
      <c r="I34" s="369"/>
      <c r="M34" s="730"/>
    </row>
    <row r="35" spans="1:13">
      <c r="B35" s="369"/>
      <c r="C35" s="369"/>
      <c r="D35" s="368"/>
      <c r="E35" s="369"/>
      <c r="F35" s="369"/>
      <c r="G35" s="368"/>
      <c r="H35" s="369"/>
      <c r="I35" s="369"/>
      <c r="M35" s="730"/>
    </row>
    <row r="36" spans="1:13">
      <c r="A36" s="368" t="s">
        <v>509</v>
      </c>
      <c r="B36" s="369">
        <v>408684.4</v>
      </c>
      <c r="C36" s="369"/>
      <c r="D36" s="368" t="s">
        <v>510</v>
      </c>
      <c r="E36" s="369">
        <v>1185799.18</v>
      </c>
      <c r="F36" s="369"/>
      <c r="G36" s="368" t="s">
        <v>514</v>
      </c>
      <c r="H36" s="369">
        <v>576375.19000000006</v>
      </c>
      <c r="I36" s="369"/>
      <c r="M36" s="730"/>
    </row>
    <row r="37" spans="1:13">
      <c r="A37" s="368" t="s">
        <v>512</v>
      </c>
      <c r="B37" s="369">
        <v>763654.07</v>
      </c>
      <c r="C37" s="369"/>
      <c r="D37" s="368" t="s">
        <v>513</v>
      </c>
      <c r="E37" s="369">
        <v>405371.21</v>
      </c>
      <c r="F37" s="369"/>
      <c r="G37" s="368" t="s">
        <v>517</v>
      </c>
      <c r="H37" s="369">
        <v>257192.19</v>
      </c>
      <c r="I37" s="369"/>
      <c r="M37" s="730"/>
    </row>
    <row r="38" spans="1:13">
      <c r="A38" s="368" t="s">
        <v>515</v>
      </c>
      <c r="B38" s="369">
        <v>291654.98</v>
      </c>
      <c r="C38" s="369"/>
      <c r="D38" s="368" t="s">
        <v>516</v>
      </c>
      <c r="E38" s="369">
        <v>404747.35</v>
      </c>
      <c r="F38" s="369"/>
      <c r="G38" s="368" t="s">
        <v>520</v>
      </c>
      <c r="H38" s="369">
        <v>2666618.5</v>
      </c>
      <c r="I38" s="369"/>
      <c r="M38" s="730"/>
    </row>
    <row r="39" spans="1:13">
      <c r="A39" s="368" t="s">
        <v>932</v>
      </c>
      <c r="B39" s="369">
        <v>65482120.840000004</v>
      </c>
      <c r="C39" s="369"/>
      <c r="D39" s="368" t="s">
        <v>519</v>
      </c>
      <c r="E39" s="369">
        <v>1880739.03</v>
      </c>
      <c r="F39" s="369"/>
      <c r="G39" s="368" t="s">
        <v>523</v>
      </c>
      <c r="H39" s="369">
        <v>221034.69</v>
      </c>
      <c r="I39" s="369"/>
      <c r="M39" s="730"/>
    </row>
    <row r="40" spans="1:13">
      <c r="A40" s="368" t="s">
        <v>521</v>
      </c>
      <c r="B40" s="369">
        <v>2397844.0099999998</v>
      </c>
      <c r="C40" s="369"/>
      <c r="D40" s="368" t="s">
        <v>522</v>
      </c>
      <c r="E40" s="369">
        <v>713252.5</v>
      </c>
      <c r="F40" s="369"/>
      <c r="G40" s="368" t="s">
        <v>203</v>
      </c>
      <c r="H40" s="369">
        <v>1882548.1</v>
      </c>
      <c r="I40" s="369"/>
      <c r="M40" s="730"/>
    </row>
    <row r="41" spans="1:13">
      <c r="C41" s="369"/>
      <c r="D41" s="368"/>
      <c r="E41" s="369"/>
      <c r="F41" s="369"/>
      <c r="G41" s="368"/>
      <c r="H41" s="369"/>
      <c r="I41" s="369"/>
      <c r="M41" s="730"/>
    </row>
    <row r="42" spans="1:13">
      <c r="A42" s="368" t="s">
        <v>524</v>
      </c>
      <c r="B42" s="369">
        <v>513788.31</v>
      </c>
      <c r="C42" s="369"/>
      <c r="D42" s="368" t="s">
        <v>525</v>
      </c>
      <c r="E42" s="369">
        <v>257864.54</v>
      </c>
      <c r="F42" s="369"/>
      <c r="G42" s="368" t="s">
        <v>528</v>
      </c>
      <c r="H42" s="369">
        <v>712150.45</v>
      </c>
      <c r="I42" s="369"/>
      <c r="M42" s="730"/>
    </row>
    <row r="43" spans="1:13">
      <c r="A43" s="368" t="s">
        <v>526</v>
      </c>
      <c r="B43" s="369">
        <v>693969.45</v>
      </c>
      <c r="C43" s="369"/>
      <c r="D43" s="368" t="s">
        <v>527</v>
      </c>
      <c r="E43" s="369">
        <v>1055548.1599999999</v>
      </c>
      <c r="F43" s="369"/>
      <c r="G43" s="368" t="s">
        <v>869</v>
      </c>
      <c r="H43" s="369">
        <v>460094.41</v>
      </c>
      <c r="I43" s="369"/>
      <c r="M43" s="730"/>
    </row>
    <row r="44" spans="1:13">
      <c r="A44" s="368" t="s">
        <v>933</v>
      </c>
      <c r="B44" s="369">
        <v>1838738.3</v>
      </c>
      <c r="C44" s="369"/>
      <c r="D44" s="368" t="s">
        <v>530</v>
      </c>
      <c r="E44" s="369">
        <v>16045329.949999999</v>
      </c>
      <c r="F44" s="369"/>
      <c r="G44" s="368" t="s">
        <v>533</v>
      </c>
      <c r="H44" s="369">
        <v>1474213.75</v>
      </c>
      <c r="I44" s="369"/>
      <c r="M44" s="730"/>
    </row>
    <row r="45" spans="1:13">
      <c r="A45" s="368" t="s">
        <v>531</v>
      </c>
      <c r="B45" s="369">
        <v>1118388.04</v>
      </c>
      <c r="C45" s="369"/>
      <c r="D45" s="368" t="s">
        <v>532</v>
      </c>
      <c r="E45" s="369">
        <v>682286.61</v>
      </c>
      <c r="F45" s="369"/>
      <c r="G45" s="368" t="s">
        <v>536</v>
      </c>
      <c r="H45" s="369">
        <v>193496.31</v>
      </c>
      <c r="I45" s="369"/>
      <c r="M45" s="730"/>
    </row>
    <row r="46" spans="1:13">
      <c r="A46" s="368" t="s">
        <v>534</v>
      </c>
      <c r="B46" s="369">
        <v>209573.64</v>
      </c>
      <c r="C46" s="369"/>
      <c r="D46" s="368" t="s">
        <v>535</v>
      </c>
      <c r="E46" s="369">
        <v>287291.7</v>
      </c>
      <c r="F46" s="369"/>
      <c r="G46" s="368" t="s">
        <v>538</v>
      </c>
      <c r="H46" s="369">
        <v>7577758.9500000002</v>
      </c>
      <c r="I46" s="369"/>
      <c r="M46" s="730"/>
    </row>
    <row r="47" spans="1:13">
      <c r="A47" s="368"/>
      <c r="C47" s="369"/>
      <c r="D47" s="368"/>
      <c r="E47" s="369"/>
      <c r="F47" s="369"/>
      <c r="G47" s="368"/>
      <c r="H47" s="369"/>
      <c r="I47" s="369"/>
      <c r="M47" s="730"/>
    </row>
    <row r="48" spans="1:13">
      <c r="A48" s="368" t="s">
        <v>537</v>
      </c>
      <c r="B48" s="369">
        <v>1265846.22</v>
      </c>
      <c r="C48" s="369"/>
      <c r="D48" s="368" t="s">
        <v>936</v>
      </c>
      <c r="E48" s="369">
        <v>254690</v>
      </c>
      <c r="F48" s="369"/>
      <c r="G48" s="368" t="s">
        <v>540</v>
      </c>
      <c r="H48" s="369">
        <v>1340209.42</v>
      </c>
      <c r="I48" s="369"/>
      <c r="M48" s="730"/>
    </row>
    <row r="49" spans="1:14">
      <c r="A49" s="368" t="s">
        <v>539</v>
      </c>
      <c r="B49" s="369">
        <v>708275.85</v>
      </c>
      <c r="C49" s="369"/>
      <c r="D49" s="368" t="s">
        <v>937</v>
      </c>
      <c r="E49" s="369">
        <v>3263618.02</v>
      </c>
      <c r="F49" s="369"/>
      <c r="G49" s="368" t="s">
        <v>543</v>
      </c>
      <c r="H49" s="369">
        <v>698554.53</v>
      </c>
      <c r="I49" s="369"/>
      <c r="M49" s="730"/>
    </row>
    <row r="50" spans="1:14">
      <c r="A50" s="368" t="s">
        <v>541</v>
      </c>
      <c r="B50" s="369">
        <v>315280.53999999998</v>
      </c>
      <c r="C50" s="369"/>
      <c r="D50" s="368" t="s">
        <v>542</v>
      </c>
      <c r="E50" s="369">
        <v>772446.5</v>
      </c>
      <c r="F50" s="369"/>
      <c r="G50" s="368" t="s">
        <v>546</v>
      </c>
      <c r="H50" s="369">
        <v>266282.73</v>
      </c>
      <c r="I50" s="369"/>
      <c r="M50" s="730"/>
    </row>
    <row r="51" spans="1:14">
      <c r="A51" s="368" t="s">
        <v>544</v>
      </c>
      <c r="B51" s="369">
        <v>408070.95</v>
      </c>
      <c r="C51" s="369"/>
      <c r="D51" s="368" t="s">
        <v>545</v>
      </c>
      <c r="E51" s="369">
        <v>1319536.5900000001</v>
      </c>
      <c r="F51" s="369"/>
      <c r="G51" s="368" t="s">
        <v>549</v>
      </c>
      <c r="H51" s="369">
        <v>2810014.81</v>
      </c>
      <c r="I51" s="369"/>
      <c r="M51" s="730"/>
    </row>
    <row r="52" spans="1:14">
      <c r="A52" s="368" t="s">
        <v>547</v>
      </c>
      <c r="B52" s="369">
        <v>146792.68</v>
      </c>
      <c r="C52" s="369"/>
      <c r="D52" s="368" t="s">
        <v>548</v>
      </c>
      <c r="E52" s="369">
        <v>713120.86</v>
      </c>
      <c r="F52" s="369"/>
      <c r="G52" s="368" t="s">
        <v>425</v>
      </c>
      <c r="H52" s="369">
        <v>2390905.66</v>
      </c>
      <c r="I52" s="369"/>
      <c r="M52" s="730"/>
    </row>
    <row r="53" spans="1:14" ht="18.75">
      <c r="A53" s="720" t="s">
        <v>550</v>
      </c>
      <c r="B53" s="721"/>
    </row>
    <row r="54" spans="1:14" ht="16.5">
      <c r="A54" s="723" t="str">
        <f>A2</f>
        <v>Communications Sales Tax Distributions, Fiscal Year 2020</v>
      </c>
      <c r="B54" s="721"/>
      <c r="D54" s="368"/>
      <c r="E54" s="736"/>
    </row>
    <row r="55" spans="1:14" ht="13.5" thickBot="1">
      <c r="D55" s="368"/>
      <c r="E55" s="736"/>
    </row>
    <row r="56" spans="1:14">
      <c r="A56" s="725"/>
      <c r="B56" s="726"/>
      <c r="D56" s="725"/>
      <c r="E56" s="726"/>
      <c r="G56" s="725"/>
      <c r="H56" s="726"/>
      <c r="J56" s="725"/>
      <c r="K56" s="726"/>
    </row>
    <row r="57" spans="1:14">
      <c r="A57" s="727" t="s">
        <v>551</v>
      </c>
      <c r="B57" s="728" t="s">
        <v>421</v>
      </c>
      <c r="D57" s="727" t="s">
        <v>551</v>
      </c>
      <c r="E57" s="728" t="s">
        <v>421</v>
      </c>
      <c r="G57" s="727" t="s">
        <v>551</v>
      </c>
      <c r="H57" s="728" t="s">
        <v>421</v>
      </c>
      <c r="J57" s="727" t="s">
        <v>551</v>
      </c>
      <c r="K57" s="728" t="s">
        <v>421</v>
      </c>
    </row>
    <row r="58" spans="1:14">
      <c r="A58" s="737" t="s">
        <v>552</v>
      </c>
      <c r="B58" s="729">
        <v>100331.66</v>
      </c>
      <c r="C58" s="369"/>
      <c r="D58" s="368" t="s">
        <v>688</v>
      </c>
      <c r="E58" s="729">
        <v>4924.76</v>
      </c>
      <c r="F58" s="369"/>
      <c r="G58" s="368" t="s">
        <v>689</v>
      </c>
      <c r="H58" s="729">
        <v>10123.27</v>
      </c>
      <c r="I58" s="369"/>
      <c r="J58" s="368" t="s">
        <v>690</v>
      </c>
      <c r="K58" s="729">
        <v>11571.97</v>
      </c>
      <c r="L58" s="369"/>
      <c r="M58" s="730"/>
      <c r="N58" s="730"/>
    </row>
    <row r="59" spans="1:14">
      <c r="A59" s="368" t="s">
        <v>555</v>
      </c>
      <c r="B59" s="369">
        <v>4453.3900000000003</v>
      </c>
      <c r="C59" s="369"/>
      <c r="D59" s="368" t="s">
        <v>691</v>
      </c>
      <c r="E59" s="369">
        <v>35121.300000000003</v>
      </c>
      <c r="F59" s="369"/>
      <c r="G59" s="368" t="s">
        <v>692</v>
      </c>
      <c r="H59" s="369">
        <v>42884.43</v>
      </c>
      <c r="I59" s="369"/>
      <c r="J59" s="368" t="s">
        <v>693</v>
      </c>
      <c r="K59" s="369">
        <v>33052.25</v>
      </c>
      <c r="L59" s="369"/>
      <c r="M59" s="730"/>
      <c r="N59" s="730"/>
    </row>
    <row r="60" spans="1:14">
      <c r="A60" s="368" t="s">
        <v>559</v>
      </c>
      <c r="B60" s="369">
        <v>10095.56</v>
      </c>
      <c r="C60" s="369"/>
      <c r="D60" s="368" t="s">
        <v>503</v>
      </c>
      <c r="E60" s="369">
        <v>101728.37</v>
      </c>
      <c r="F60" s="369"/>
      <c r="G60" s="368" t="s">
        <v>553</v>
      </c>
      <c r="H60" s="369">
        <v>67074.92</v>
      </c>
      <c r="I60" s="369"/>
      <c r="J60" s="368" t="s">
        <v>554</v>
      </c>
      <c r="K60" s="369">
        <v>1157.54</v>
      </c>
      <c r="L60" s="369"/>
      <c r="M60" s="730"/>
      <c r="N60" s="730"/>
    </row>
    <row r="61" spans="1:14">
      <c r="A61" s="368" t="s">
        <v>562</v>
      </c>
      <c r="B61" s="369">
        <v>33662.25</v>
      </c>
      <c r="C61" s="369"/>
      <c r="D61" s="368" t="s">
        <v>556</v>
      </c>
      <c r="E61" s="369">
        <v>20586.18</v>
      </c>
      <c r="F61" s="369"/>
      <c r="G61" s="368" t="s">
        <v>557</v>
      </c>
      <c r="H61" s="369">
        <v>1791927.25</v>
      </c>
      <c r="I61" s="369"/>
      <c r="J61" s="368" t="s">
        <v>558</v>
      </c>
      <c r="K61" s="369">
        <v>19969.3</v>
      </c>
      <c r="L61" s="369"/>
      <c r="M61" s="730"/>
      <c r="N61" s="730"/>
    </row>
    <row r="62" spans="1:14">
      <c r="A62" s="368" t="s">
        <v>438</v>
      </c>
      <c r="B62" s="369">
        <v>84715.31</v>
      </c>
      <c r="C62" s="369"/>
      <c r="D62" s="368" t="s">
        <v>560</v>
      </c>
      <c r="E62" s="369">
        <v>21116.41</v>
      </c>
      <c r="F62" s="369"/>
      <c r="G62" s="368" t="s">
        <v>475</v>
      </c>
      <c r="H62" s="369">
        <v>5936.69</v>
      </c>
      <c r="I62" s="369"/>
      <c r="J62" s="368" t="s">
        <v>561</v>
      </c>
      <c r="K62" s="369">
        <v>39872.730000000003</v>
      </c>
      <c r="L62" s="369"/>
      <c r="M62" s="730"/>
      <c r="N62" s="730"/>
    </row>
    <row r="63" spans="1:14">
      <c r="A63" s="368"/>
      <c r="B63" s="369"/>
      <c r="C63" s="369"/>
      <c r="F63" s="369"/>
      <c r="I63" s="369"/>
      <c r="L63" s="369"/>
    </row>
    <row r="64" spans="1:14">
      <c r="A64" s="368" t="s">
        <v>568</v>
      </c>
      <c r="B64" s="369">
        <v>32792.340000000004</v>
      </c>
      <c r="C64" s="369"/>
      <c r="D64" s="368" t="s">
        <v>563</v>
      </c>
      <c r="E64" s="369">
        <v>3229.97</v>
      </c>
      <c r="F64" s="369"/>
      <c r="G64" s="368" t="s">
        <v>564</v>
      </c>
      <c r="H64" s="369">
        <v>11059</v>
      </c>
      <c r="I64" s="369"/>
      <c r="J64" s="368" t="s">
        <v>565</v>
      </c>
      <c r="K64" s="369">
        <v>14652.96</v>
      </c>
      <c r="L64" s="369"/>
      <c r="M64" s="730"/>
      <c r="N64" s="730"/>
    </row>
    <row r="65" spans="1:14">
      <c r="A65" s="368" t="s">
        <v>442</v>
      </c>
      <c r="B65" s="369">
        <v>5236.63</v>
      </c>
      <c r="C65" s="369"/>
      <c r="D65" s="368" t="s">
        <v>566</v>
      </c>
      <c r="E65" s="369">
        <v>1171.4000000000001</v>
      </c>
      <c r="F65" s="369"/>
      <c r="G65" s="368" t="s">
        <v>567</v>
      </c>
      <c r="H65" s="369">
        <v>63990.47</v>
      </c>
      <c r="I65" s="369"/>
      <c r="J65" s="368" t="s">
        <v>428</v>
      </c>
      <c r="K65" s="369">
        <v>23071.07</v>
      </c>
      <c r="L65" s="369"/>
      <c r="M65" s="730"/>
      <c r="N65" s="730"/>
    </row>
    <row r="66" spans="1:14">
      <c r="A66" s="368" t="s">
        <v>575</v>
      </c>
      <c r="B66" s="369">
        <v>226160.42</v>
      </c>
      <c r="C66" s="369"/>
      <c r="D66" s="368" t="s">
        <v>569</v>
      </c>
      <c r="E66" s="369">
        <v>76872.47</v>
      </c>
      <c r="F66" s="369"/>
      <c r="G66" s="368" t="s">
        <v>570</v>
      </c>
      <c r="H66" s="369">
        <v>107921.52</v>
      </c>
      <c r="I66" s="369"/>
      <c r="J66" s="368" t="s">
        <v>571</v>
      </c>
      <c r="K66" s="369">
        <v>196064.37</v>
      </c>
      <c r="L66" s="369"/>
      <c r="M66" s="730"/>
      <c r="N66" s="730"/>
    </row>
    <row r="67" spans="1:14">
      <c r="A67" s="731" t="s">
        <v>458</v>
      </c>
      <c r="B67" s="369">
        <v>116748.63</v>
      </c>
      <c r="C67" s="369"/>
      <c r="D67" s="368" t="s">
        <v>572</v>
      </c>
      <c r="E67" s="369">
        <v>155009.86000000002</v>
      </c>
      <c r="F67" s="369"/>
      <c r="G67" s="368" t="s">
        <v>573</v>
      </c>
      <c r="H67" s="369">
        <v>7544.81</v>
      </c>
      <c r="I67" s="369"/>
      <c r="J67" s="368" t="s">
        <v>574</v>
      </c>
      <c r="K67" s="369">
        <v>647716.4</v>
      </c>
      <c r="L67" s="369"/>
      <c r="M67" s="730"/>
      <c r="N67" s="730"/>
    </row>
    <row r="68" spans="1:14">
      <c r="A68" s="368" t="s">
        <v>579</v>
      </c>
      <c r="B68" s="369">
        <v>77350.7</v>
      </c>
      <c r="C68" s="369"/>
      <c r="D68" s="368" t="s">
        <v>576</v>
      </c>
      <c r="E68" s="369">
        <v>8116.65</v>
      </c>
      <c r="F68" s="369"/>
      <c r="G68" s="368" t="s">
        <v>577</v>
      </c>
      <c r="H68" s="369">
        <v>3399.88</v>
      </c>
      <c r="I68" s="369"/>
      <c r="J68" s="368" t="s">
        <v>578</v>
      </c>
      <c r="K68" s="369">
        <v>146952.14000000001</v>
      </c>
      <c r="L68" s="369"/>
      <c r="M68" s="730"/>
      <c r="N68" s="730"/>
    </row>
    <row r="69" spans="1:14">
      <c r="A69" s="368"/>
      <c r="B69" s="369"/>
      <c r="C69" s="369"/>
      <c r="F69" s="369"/>
      <c r="I69" s="369"/>
      <c r="L69" s="369"/>
    </row>
    <row r="70" spans="1:14">
      <c r="A70" s="368" t="s">
        <v>583</v>
      </c>
      <c r="B70" s="369">
        <v>158381.92000000001</v>
      </c>
      <c r="C70" s="369"/>
      <c r="D70" s="368" t="s">
        <v>580</v>
      </c>
      <c r="E70" s="369">
        <v>43653.83</v>
      </c>
      <c r="F70" s="369"/>
      <c r="G70" s="368" t="s">
        <v>581</v>
      </c>
      <c r="H70" s="369">
        <v>37540.340000000004</v>
      </c>
      <c r="I70" s="369"/>
      <c r="J70" s="368" t="s">
        <v>582</v>
      </c>
      <c r="K70" s="369">
        <v>3108.72</v>
      </c>
      <c r="L70" s="369"/>
      <c r="M70" s="730"/>
      <c r="N70" s="730"/>
    </row>
    <row r="71" spans="1:14">
      <c r="A71" s="368" t="s">
        <v>587</v>
      </c>
      <c r="B71" s="369">
        <v>1023133.59</v>
      </c>
      <c r="C71" s="369"/>
      <c r="D71" s="368" t="s">
        <v>584</v>
      </c>
      <c r="E71" s="369">
        <v>432878.33</v>
      </c>
      <c r="F71" s="369"/>
      <c r="G71" s="368" t="s">
        <v>585</v>
      </c>
      <c r="H71" s="369">
        <v>11876.94</v>
      </c>
      <c r="I71" s="369"/>
      <c r="J71" s="368" t="s">
        <v>586</v>
      </c>
      <c r="K71" s="369">
        <v>13769.18</v>
      </c>
      <c r="L71" s="369"/>
      <c r="M71" s="730"/>
      <c r="N71" s="730"/>
    </row>
    <row r="72" spans="1:14">
      <c r="A72" s="368" t="s">
        <v>590</v>
      </c>
      <c r="B72" s="369">
        <v>14760.36</v>
      </c>
      <c r="C72" s="369"/>
      <c r="D72" s="368" t="s">
        <v>588</v>
      </c>
      <c r="E72" s="369">
        <v>2349.75</v>
      </c>
      <c r="F72" s="369"/>
      <c r="G72" s="368" t="s">
        <v>589</v>
      </c>
      <c r="H72" s="369">
        <v>1490.24</v>
      </c>
      <c r="I72" s="369"/>
      <c r="J72" s="368" t="s">
        <v>874</v>
      </c>
      <c r="K72" s="369">
        <v>22630.959999999999</v>
      </c>
      <c r="L72" s="369"/>
      <c r="M72" s="730"/>
      <c r="N72" s="730"/>
    </row>
    <row r="73" spans="1:14">
      <c r="A73" s="731" t="s">
        <v>872</v>
      </c>
      <c r="B73" s="369">
        <v>4429.17</v>
      </c>
      <c r="C73" s="369"/>
      <c r="D73" s="368" t="s">
        <v>524</v>
      </c>
      <c r="E73" s="369">
        <v>384.69</v>
      </c>
      <c r="F73" s="369"/>
      <c r="G73" s="368" t="s">
        <v>591</v>
      </c>
      <c r="H73" s="369">
        <v>5704.49</v>
      </c>
      <c r="I73" s="369"/>
      <c r="J73" s="368" t="s">
        <v>592</v>
      </c>
      <c r="K73" s="369">
        <v>69005.34</v>
      </c>
      <c r="L73" s="369"/>
      <c r="M73" s="730"/>
      <c r="N73" s="730"/>
    </row>
    <row r="74" spans="1:14">
      <c r="A74" s="368" t="s">
        <v>593</v>
      </c>
      <c r="B74" s="369">
        <v>36133.25</v>
      </c>
      <c r="C74" s="369"/>
      <c r="D74" s="368" t="s">
        <v>594</v>
      </c>
      <c r="E74" s="369">
        <v>10580.76</v>
      </c>
      <c r="F74" s="369"/>
      <c r="G74" s="368" t="s">
        <v>595</v>
      </c>
      <c r="H74" s="369">
        <v>11547.66</v>
      </c>
      <c r="I74" s="369"/>
      <c r="J74" s="368" t="s">
        <v>596</v>
      </c>
      <c r="K74" s="369">
        <v>2626.96</v>
      </c>
      <c r="L74" s="369"/>
      <c r="M74" s="730"/>
      <c r="N74" s="730"/>
    </row>
    <row r="75" spans="1:14">
      <c r="A75" s="368"/>
      <c r="B75" s="369"/>
      <c r="C75" s="369"/>
      <c r="F75" s="369"/>
      <c r="I75" s="369"/>
      <c r="L75" s="369"/>
    </row>
    <row r="76" spans="1:14">
      <c r="A76" s="368" t="s">
        <v>597</v>
      </c>
      <c r="B76" s="369">
        <v>2772.54</v>
      </c>
      <c r="C76" s="369"/>
      <c r="D76" s="368" t="s">
        <v>598</v>
      </c>
      <c r="E76" s="369">
        <v>141050.03</v>
      </c>
      <c r="F76" s="369"/>
      <c r="G76" s="368" t="s">
        <v>599</v>
      </c>
      <c r="H76" s="369">
        <v>18572.61</v>
      </c>
      <c r="I76" s="369"/>
      <c r="J76" s="368" t="s">
        <v>600</v>
      </c>
      <c r="K76" s="369">
        <v>52491.32</v>
      </c>
      <c r="L76" s="369"/>
      <c r="M76" s="730"/>
      <c r="N76" s="730"/>
    </row>
    <row r="77" spans="1:14">
      <c r="A77" s="368" t="s">
        <v>601</v>
      </c>
      <c r="B77" s="369">
        <v>33776.629999999997</v>
      </c>
      <c r="C77" s="369"/>
      <c r="D77" s="368" t="s">
        <v>602</v>
      </c>
      <c r="E77" s="369">
        <v>32729.97</v>
      </c>
      <c r="F77" s="369"/>
      <c r="G77" s="368" t="s">
        <v>603</v>
      </c>
      <c r="H77" s="369">
        <v>36812.550000000003</v>
      </c>
      <c r="I77" s="369"/>
      <c r="J77" s="368" t="s">
        <v>456</v>
      </c>
      <c r="K77" s="369">
        <v>22814.61</v>
      </c>
      <c r="L77" s="369"/>
      <c r="M77" s="730"/>
      <c r="N77" s="730"/>
    </row>
    <row r="78" spans="1:14">
      <c r="A78" s="368" t="s">
        <v>604</v>
      </c>
      <c r="B78" s="369">
        <v>2058.63</v>
      </c>
      <c r="C78" s="369"/>
      <c r="D78" s="368" t="s">
        <v>605</v>
      </c>
      <c r="E78" s="369">
        <v>24062.25</v>
      </c>
      <c r="F78" s="369"/>
      <c r="G78" s="368" t="s">
        <v>606</v>
      </c>
      <c r="H78" s="369">
        <v>1926.93</v>
      </c>
      <c r="I78" s="369"/>
      <c r="J78" s="368" t="s">
        <v>607</v>
      </c>
      <c r="K78" s="369">
        <v>27132.89</v>
      </c>
      <c r="L78" s="369"/>
      <c r="M78" s="730"/>
      <c r="N78" s="730"/>
    </row>
    <row r="79" spans="1:14">
      <c r="A79" s="368" t="s">
        <v>608</v>
      </c>
      <c r="B79" s="369">
        <v>12427.97</v>
      </c>
      <c r="C79" s="369"/>
      <c r="D79" s="368" t="s">
        <v>609</v>
      </c>
      <c r="E79" s="369">
        <v>17338.82</v>
      </c>
      <c r="F79" s="369"/>
      <c r="G79" s="722" t="s">
        <v>610</v>
      </c>
      <c r="H79" s="738">
        <v>42517.07</v>
      </c>
      <c r="I79" s="369"/>
      <c r="J79" s="368" t="s">
        <v>611</v>
      </c>
      <c r="K79" s="369">
        <v>1843.75</v>
      </c>
      <c r="L79" s="369"/>
      <c r="M79" s="730"/>
      <c r="N79" s="730"/>
    </row>
    <row r="80" spans="1:14">
      <c r="A80" s="368" t="s">
        <v>612</v>
      </c>
      <c r="B80" s="369">
        <v>3018.63</v>
      </c>
      <c r="C80" s="369"/>
      <c r="D80" s="368" t="s">
        <v>613</v>
      </c>
      <c r="E80" s="369">
        <v>25226.74</v>
      </c>
      <c r="F80" s="369"/>
      <c r="G80" s="368" t="s">
        <v>614</v>
      </c>
      <c r="H80" s="369">
        <v>1063.96</v>
      </c>
      <c r="I80" s="369"/>
      <c r="J80" s="368" t="s">
        <v>615</v>
      </c>
      <c r="K80" s="369">
        <v>3001.3</v>
      </c>
      <c r="L80" s="369"/>
      <c r="M80" s="730"/>
      <c r="N80" s="730"/>
    </row>
    <row r="81" spans="1:14">
      <c r="B81" s="369"/>
      <c r="C81" s="369"/>
      <c r="F81" s="369"/>
      <c r="I81" s="369"/>
      <c r="L81" s="369"/>
    </row>
    <row r="82" spans="1:14">
      <c r="A82" s="368" t="s">
        <v>616</v>
      </c>
      <c r="B82" s="369">
        <v>75558.92</v>
      </c>
      <c r="C82" s="369"/>
      <c r="D82" s="368" t="s">
        <v>617</v>
      </c>
      <c r="E82" s="369">
        <v>6265.97</v>
      </c>
      <c r="F82" s="369"/>
      <c r="G82" s="368" t="s">
        <v>618</v>
      </c>
      <c r="H82" s="369">
        <v>1278.8500000000001</v>
      </c>
      <c r="I82" s="369"/>
      <c r="J82" s="368" t="s">
        <v>619</v>
      </c>
      <c r="K82" s="369">
        <v>42472</v>
      </c>
      <c r="L82" s="369"/>
      <c r="M82" s="730"/>
      <c r="N82" s="730"/>
    </row>
    <row r="83" spans="1:14">
      <c r="A83" s="368" t="s">
        <v>873</v>
      </c>
      <c r="B83" s="369">
        <v>8594.9</v>
      </c>
      <c r="C83" s="369"/>
      <c r="D83" s="368" t="s">
        <v>621</v>
      </c>
      <c r="E83" s="369">
        <v>21768.01</v>
      </c>
      <c r="F83" s="369"/>
      <c r="G83" s="368" t="s">
        <v>622</v>
      </c>
      <c r="H83" s="369">
        <v>38399.86</v>
      </c>
      <c r="I83" s="369"/>
      <c r="J83" s="368" t="s">
        <v>623</v>
      </c>
      <c r="K83" s="369">
        <v>884287.71</v>
      </c>
      <c r="L83" s="369"/>
      <c r="M83" s="730"/>
      <c r="N83" s="730"/>
    </row>
    <row r="84" spans="1:14">
      <c r="A84" s="368" t="s">
        <v>620</v>
      </c>
      <c r="B84" s="369">
        <v>39508.840000000004</v>
      </c>
      <c r="C84" s="369"/>
      <c r="D84" s="368" t="s">
        <v>624</v>
      </c>
      <c r="E84" s="369">
        <v>28664.7</v>
      </c>
      <c r="F84" s="369"/>
      <c r="G84" s="368" t="s">
        <v>625</v>
      </c>
      <c r="H84" s="369">
        <v>81315.44</v>
      </c>
      <c r="I84" s="369"/>
      <c r="J84" s="368" t="s">
        <v>626</v>
      </c>
      <c r="K84" s="369">
        <v>281517.86</v>
      </c>
      <c r="L84" s="369"/>
      <c r="M84" s="730"/>
      <c r="N84" s="730"/>
    </row>
    <row r="85" spans="1:14">
      <c r="A85" s="368" t="s">
        <v>627</v>
      </c>
      <c r="B85" s="369">
        <v>15373.77</v>
      </c>
      <c r="C85" s="369"/>
      <c r="D85" s="368" t="s">
        <v>628</v>
      </c>
      <c r="E85" s="369">
        <v>16403.11</v>
      </c>
      <c r="F85" s="369"/>
      <c r="G85" s="368" t="s">
        <v>629</v>
      </c>
      <c r="H85" s="369">
        <v>3472.61</v>
      </c>
      <c r="I85" s="369"/>
      <c r="J85" s="368" t="s">
        <v>630</v>
      </c>
      <c r="K85" s="369">
        <v>2100.1999999999998</v>
      </c>
      <c r="L85" s="369"/>
      <c r="M85" s="730"/>
      <c r="N85" s="730"/>
    </row>
    <row r="86" spans="1:14">
      <c r="A86" s="368" t="s">
        <v>474</v>
      </c>
      <c r="B86" s="369">
        <v>2374.0100000000002</v>
      </c>
      <c r="C86" s="369"/>
      <c r="D86" s="368" t="s">
        <v>423</v>
      </c>
      <c r="E86" s="369">
        <v>84708.37</v>
      </c>
      <c r="F86" s="369"/>
      <c r="G86" s="368" t="s">
        <v>510</v>
      </c>
      <c r="H86" s="369">
        <v>146331.79</v>
      </c>
      <c r="I86" s="369"/>
      <c r="J86" s="368" t="s">
        <v>631</v>
      </c>
      <c r="K86" s="369">
        <v>14701.48</v>
      </c>
      <c r="L86" s="369"/>
      <c r="M86" s="730"/>
      <c r="N86" s="730"/>
    </row>
    <row r="87" spans="1:14">
      <c r="A87" s="368"/>
      <c r="B87" s="369"/>
      <c r="C87" s="369"/>
      <c r="F87" s="369"/>
      <c r="I87" s="369"/>
      <c r="L87" s="369"/>
    </row>
    <row r="88" spans="1:14">
      <c r="A88" s="368" t="s">
        <v>632</v>
      </c>
      <c r="B88" s="369">
        <v>1469.46</v>
      </c>
      <c r="C88" s="369"/>
      <c r="D88" s="368" t="s">
        <v>633</v>
      </c>
      <c r="E88" s="369">
        <v>13634</v>
      </c>
      <c r="F88" s="369"/>
      <c r="G88" s="368" t="s">
        <v>634</v>
      </c>
      <c r="H88" s="369">
        <v>2020.48</v>
      </c>
      <c r="I88" s="369"/>
      <c r="J88" s="368" t="s">
        <v>635</v>
      </c>
      <c r="K88" s="369">
        <v>446183.15</v>
      </c>
      <c r="L88" s="369"/>
      <c r="M88" s="730"/>
      <c r="N88" s="730"/>
    </row>
    <row r="89" spans="1:14">
      <c r="A89" s="368" t="s">
        <v>636</v>
      </c>
      <c r="B89" s="369">
        <v>39044.42</v>
      </c>
      <c r="C89" s="369"/>
      <c r="D89" s="368" t="s">
        <v>637</v>
      </c>
      <c r="E89" s="369">
        <v>104182.09</v>
      </c>
      <c r="F89" s="369"/>
      <c r="G89" s="368" t="s">
        <v>638</v>
      </c>
      <c r="H89" s="369">
        <v>17820.560000000001</v>
      </c>
      <c r="I89" s="369"/>
      <c r="J89" s="368" t="s">
        <v>639</v>
      </c>
      <c r="K89" s="369">
        <v>39013.24</v>
      </c>
      <c r="L89" s="369"/>
      <c r="M89" s="730"/>
      <c r="N89" s="730"/>
    </row>
    <row r="90" spans="1:14">
      <c r="A90" s="368" t="s">
        <v>640</v>
      </c>
      <c r="B90" s="369">
        <v>31281.279999999999</v>
      </c>
      <c r="C90" s="369"/>
      <c r="D90" s="368" t="s">
        <v>641</v>
      </c>
      <c r="E90" s="369">
        <v>12278.91</v>
      </c>
      <c r="F90" s="369"/>
      <c r="G90" s="368" t="s">
        <v>642</v>
      </c>
      <c r="H90" s="369">
        <v>20433.71</v>
      </c>
      <c r="I90" s="369"/>
      <c r="J90" s="368" t="s">
        <v>464</v>
      </c>
      <c r="K90" s="369">
        <v>3039.42</v>
      </c>
      <c r="L90" s="369"/>
      <c r="M90" s="730"/>
      <c r="N90" s="730"/>
    </row>
    <row r="91" spans="1:14">
      <c r="A91" s="368" t="s">
        <v>643</v>
      </c>
      <c r="B91" s="369">
        <v>2075.98</v>
      </c>
      <c r="C91" s="369"/>
      <c r="D91" s="368" t="s">
        <v>644</v>
      </c>
      <c r="E91" s="369">
        <v>1427180.86</v>
      </c>
      <c r="F91" s="369"/>
      <c r="G91" s="368" t="s">
        <v>645</v>
      </c>
      <c r="H91" s="369">
        <v>6460.05</v>
      </c>
      <c r="I91" s="369"/>
      <c r="J91" s="368" t="s">
        <v>646</v>
      </c>
      <c r="K91" s="369">
        <v>26460.51</v>
      </c>
      <c r="L91" s="369"/>
      <c r="M91" s="730"/>
      <c r="N91" s="730"/>
    </row>
    <row r="92" spans="1:14">
      <c r="A92" s="368" t="s">
        <v>647</v>
      </c>
      <c r="B92" s="369">
        <v>43782.05</v>
      </c>
      <c r="C92" s="369"/>
      <c r="D92" s="368" t="s">
        <v>648</v>
      </c>
      <c r="E92" s="369">
        <v>15242.11</v>
      </c>
      <c r="F92" s="369"/>
      <c r="G92" s="368" t="s">
        <v>649</v>
      </c>
      <c r="H92" s="369">
        <v>38995.9</v>
      </c>
      <c r="I92" s="369"/>
      <c r="J92" s="368" t="s">
        <v>650</v>
      </c>
      <c r="K92" s="369">
        <v>18822.14</v>
      </c>
      <c r="L92" s="369"/>
      <c r="M92" s="730"/>
      <c r="N92" s="730"/>
    </row>
    <row r="93" spans="1:14">
      <c r="A93" s="368"/>
      <c r="B93" s="369"/>
      <c r="C93" s="369"/>
      <c r="F93" s="369"/>
      <c r="I93" s="369"/>
      <c r="L93" s="369"/>
    </row>
    <row r="94" spans="1:14" ht="12.75" customHeight="1">
      <c r="A94" s="368" t="s">
        <v>651</v>
      </c>
      <c r="B94" s="369">
        <v>61616.49</v>
      </c>
      <c r="C94" s="369"/>
      <c r="D94" s="368" t="s">
        <v>652</v>
      </c>
      <c r="E94" s="369">
        <v>12854.24</v>
      </c>
      <c r="F94" s="369"/>
      <c r="G94" s="368" t="s">
        <v>653</v>
      </c>
      <c r="H94" s="369">
        <v>1150.6000000000001</v>
      </c>
      <c r="I94" s="369"/>
      <c r="J94" s="368" t="s">
        <v>654</v>
      </c>
      <c r="K94" s="369">
        <v>71632.31</v>
      </c>
      <c r="L94" s="369"/>
      <c r="M94" s="730"/>
      <c r="N94" s="730"/>
    </row>
    <row r="95" spans="1:14">
      <c r="A95" s="368" t="s">
        <v>655</v>
      </c>
      <c r="B95" s="369">
        <v>35339.620000000003</v>
      </c>
      <c r="C95" s="369"/>
      <c r="D95" s="368" t="s">
        <v>656</v>
      </c>
      <c r="E95" s="369">
        <v>19692.02</v>
      </c>
      <c r="F95" s="369"/>
      <c r="G95" s="368" t="s">
        <v>657</v>
      </c>
      <c r="H95" s="369">
        <v>14937.13</v>
      </c>
      <c r="I95" s="369"/>
      <c r="J95" s="368" t="s">
        <v>658</v>
      </c>
      <c r="K95" s="369">
        <v>2737.9</v>
      </c>
      <c r="L95" s="369"/>
      <c r="M95" s="730"/>
      <c r="N95" s="730"/>
    </row>
    <row r="96" spans="1:14">
      <c r="A96" s="368" t="s">
        <v>659</v>
      </c>
      <c r="B96" s="369">
        <v>140921.81</v>
      </c>
      <c r="C96" s="369"/>
      <c r="D96" s="368" t="s">
        <v>660</v>
      </c>
      <c r="E96" s="369">
        <v>28442.880000000001</v>
      </c>
      <c r="F96" s="369"/>
      <c r="G96" s="368" t="s">
        <v>661</v>
      </c>
      <c r="H96" s="369">
        <v>3195.36</v>
      </c>
      <c r="I96" s="369"/>
      <c r="J96" s="368" t="s">
        <v>662</v>
      </c>
      <c r="K96" s="369">
        <v>55288.15</v>
      </c>
      <c r="L96" s="369"/>
      <c r="M96" s="730"/>
      <c r="N96" s="730"/>
    </row>
    <row r="97" spans="1:14">
      <c r="A97" s="368" t="s">
        <v>663</v>
      </c>
      <c r="B97" s="369">
        <v>734673.98</v>
      </c>
      <c r="C97" s="369"/>
      <c r="D97" s="368" t="s">
        <v>664</v>
      </c>
      <c r="E97" s="369">
        <v>13318.71</v>
      </c>
      <c r="F97" s="369"/>
      <c r="G97" s="368" t="s">
        <v>665</v>
      </c>
      <c r="H97" s="369">
        <v>27184.85</v>
      </c>
      <c r="I97" s="369"/>
      <c r="J97" s="1255" t="s">
        <v>472</v>
      </c>
      <c r="K97" s="369">
        <v>89248.4</v>
      </c>
      <c r="L97" s="369"/>
      <c r="M97" s="730"/>
      <c r="N97" s="730"/>
    </row>
    <row r="98" spans="1:14">
      <c r="A98" s="368" t="s">
        <v>666</v>
      </c>
      <c r="B98" s="369">
        <v>29101.4</v>
      </c>
      <c r="C98" s="369"/>
      <c r="D98" s="368" t="s">
        <v>667</v>
      </c>
      <c r="E98" s="369">
        <v>2051.66</v>
      </c>
      <c r="F98" s="369"/>
      <c r="G98" s="368" t="s">
        <v>532</v>
      </c>
      <c r="H98" s="369">
        <v>375954.43</v>
      </c>
      <c r="I98" s="369"/>
      <c r="J98" s="722" t="s">
        <v>668</v>
      </c>
      <c r="K98" s="369">
        <v>77877.47</v>
      </c>
      <c r="L98" s="369"/>
      <c r="M98" s="730"/>
      <c r="N98" s="730"/>
    </row>
    <row r="99" spans="1:14">
      <c r="A99" s="368"/>
      <c r="B99" s="369"/>
      <c r="C99" s="369"/>
      <c r="F99" s="369"/>
      <c r="G99" s="368"/>
      <c r="H99" s="369"/>
      <c r="I99" s="369"/>
      <c r="J99" s="722" t="s">
        <v>865</v>
      </c>
      <c r="K99" s="369">
        <v>353611.12</v>
      </c>
    </row>
    <row r="100" spans="1:14">
      <c r="A100" s="368" t="s">
        <v>669</v>
      </c>
      <c r="B100" s="369">
        <v>1389.73</v>
      </c>
      <c r="C100" s="369"/>
      <c r="D100" s="368" t="s">
        <v>670</v>
      </c>
      <c r="E100" s="369">
        <v>1542.25</v>
      </c>
      <c r="F100" s="369"/>
      <c r="G100" s="368" t="s">
        <v>671</v>
      </c>
      <c r="H100" s="369">
        <v>133390.89000000001</v>
      </c>
      <c r="I100" s="369"/>
      <c r="M100" s="730"/>
      <c r="N100" s="730"/>
    </row>
    <row r="101" spans="1:14">
      <c r="A101" s="368" t="s">
        <v>672</v>
      </c>
      <c r="B101" s="369">
        <v>4838.13</v>
      </c>
      <c r="C101" s="369"/>
      <c r="D101" s="368" t="s">
        <v>673</v>
      </c>
      <c r="E101" s="369">
        <v>3833.06</v>
      </c>
      <c r="F101" s="369"/>
      <c r="G101" s="368" t="s">
        <v>674</v>
      </c>
      <c r="H101" s="369">
        <v>23483.52</v>
      </c>
      <c r="I101" s="369"/>
      <c r="J101" s="732" t="s">
        <v>678</v>
      </c>
      <c r="K101" s="733">
        <f>SUM(B58:B105,E58:E105,H58:H105,K58:K99)</f>
        <v>13850467.830000006</v>
      </c>
      <c r="M101" s="730"/>
      <c r="N101" s="730"/>
    </row>
    <row r="102" spans="1:14">
      <c r="A102" s="368" t="s">
        <v>675</v>
      </c>
      <c r="B102" s="369">
        <v>77832.45</v>
      </c>
      <c r="C102" s="369"/>
      <c r="D102" s="368" t="s">
        <v>676</v>
      </c>
      <c r="E102" s="369">
        <v>16617.98</v>
      </c>
      <c r="F102" s="369"/>
      <c r="G102" s="368" t="s">
        <v>677</v>
      </c>
      <c r="H102" s="369">
        <v>15657.97</v>
      </c>
      <c r="I102" s="369"/>
      <c r="J102" s="732" t="s">
        <v>24</v>
      </c>
      <c r="K102" s="733">
        <f>SUM(B6:B52,E6:E52,H6:H22)</f>
        <v>195529927.08000007</v>
      </c>
      <c r="M102" s="730"/>
      <c r="N102" s="730"/>
    </row>
    <row r="103" spans="1:14">
      <c r="A103" s="368" t="s">
        <v>679</v>
      </c>
      <c r="B103" s="369">
        <v>60462.39</v>
      </c>
      <c r="C103" s="369"/>
      <c r="D103" s="368" t="s">
        <v>680</v>
      </c>
      <c r="E103" s="369">
        <v>26051.58</v>
      </c>
      <c r="F103" s="369"/>
      <c r="G103" s="368" t="s">
        <v>681</v>
      </c>
      <c r="H103" s="369">
        <v>6487.78</v>
      </c>
      <c r="I103" s="369"/>
      <c r="J103" s="732" t="s">
        <v>29</v>
      </c>
      <c r="K103" s="733">
        <f>SUM(H30:H52,K6:K27)</f>
        <v>137188448.26000002</v>
      </c>
      <c r="M103" s="739"/>
      <c r="N103" s="730"/>
    </row>
    <row r="104" spans="1:14">
      <c r="A104" s="368" t="s">
        <v>682</v>
      </c>
      <c r="B104" s="369">
        <v>38230.01</v>
      </c>
      <c r="C104" s="369"/>
      <c r="D104" s="368" t="s">
        <v>683</v>
      </c>
      <c r="E104" s="369">
        <v>1961.59</v>
      </c>
      <c r="F104" s="369"/>
      <c r="G104" s="368" t="s">
        <v>684</v>
      </c>
      <c r="H104" s="369">
        <v>15994.15</v>
      </c>
      <c r="I104" s="369"/>
      <c r="K104" s="738"/>
      <c r="M104" s="730"/>
      <c r="N104" s="730"/>
    </row>
    <row r="105" spans="1:14">
      <c r="A105" s="368" t="s">
        <v>685</v>
      </c>
      <c r="B105" s="740">
        <v>168207.2</v>
      </c>
      <c r="C105" s="369"/>
      <c r="D105" s="368" t="s">
        <v>686</v>
      </c>
      <c r="E105" s="369">
        <v>63110.2</v>
      </c>
      <c r="G105" s="368" t="s">
        <v>687</v>
      </c>
      <c r="H105" s="369">
        <v>162034.79</v>
      </c>
      <c r="I105" s="369"/>
      <c r="J105" s="732" t="s">
        <v>30</v>
      </c>
      <c r="K105" s="733">
        <f>SUM(K101:K103)</f>
        <v>346568843.17000008</v>
      </c>
      <c r="M105" s="730"/>
      <c r="N105" s="730"/>
    </row>
    <row r="106" spans="1:14">
      <c r="A106" s="368"/>
      <c r="B106" s="369"/>
      <c r="C106" s="369"/>
      <c r="D106" s="368"/>
      <c r="E106" s="369"/>
      <c r="F106" s="369"/>
      <c r="G106" s="368"/>
      <c r="H106" s="369"/>
      <c r="I106" s="369"/>
      <c r="M106" s="730"/>
      <c r="N106" s="730"/>
    </row>
    <row r="107" spans="1:14">
      <c r="A107" s="368" t="s">
        <v>1</v>
      </c>
      <c r="B107" s="369"/>
      <c r="C107" s="369"/>
      <c r="D107" s="368"/>
      <c r="E107" s="369"/>
      <c r="F107" s="369"/>
      <c r="G107" s="368"/>
      <c r="H107" s="369"/>
      <c r="I107" s="369"/>
      <c r="M107" s="730"/>
      <c r="N107" s="730"/>
    </row>
    <row r="108" spans="1:14" ht="31.5" customHeight="1">
      <c r="A108" s="1383" t="s">
        <v>1131</v>
      </c>
      <c r="B108" s="1384"/>
      <c r="C108" s="1384"/>
      <c r="D108" s="1384"/>
      <c r="E108" s="1384"/>
      <c r="F108" s="1384"/>
      <c r="G108" s="1384"/>
      <c r="H108" s="1385"/>
      <c r="I108" s="369"/>
      <c r="M108" s="730"/>
      <c r="N108" s="730"/>
    </row>
    <row r="109" spans="1:14" ht="39" customHeight="1">
      <c r="A109" s="1383" t="s">
        <v>1130</v>
      </c>
      <c r="B109" s="1385"/>
      <c r="C109" s="1385"/>
      <c r="D109" s="1385"/>
      <c r="E109" s="1385"/>
      <c r="F109" s="1385"/>
      <c r="G109" s="1385"/>
      <c r="H109" s="1385"/>
      <c r="I109" s="369"/>
      <c r="M109" s="730"/>
      <c r="N109" s="730"/>
    </row>
    <row r="110" spans="1:14">
      <c r="A110" s="741" t="s">
        <v>1161</v>
      </c>
      <c r="C110" s="368"/>
      <c r="F110" s="722"/>
      <c r="M110" s="742"/>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2">
    <mergeCell ref="A108:H108"/>
    <mergeCell ref="A109:H109"/>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workbookViewId="0"/>
  </sheetViews>
  <sheetFormatPr defaultColWidth="9.140625" defaultRowHeight="12.75"/>
  <cols>
    <col min="1" max="1" width="29.85546875" style="46" customWidth="1"/>
    <col min="2" max="2" width="12.140625" style="46" customWidth="1"/>
    <col min="3" max="3" width="22.5703125" style="46" customWidth="1"/>
    <col min="4" max="4" width="14" style="46" customWidth="1"/>
    <col min="5" max="5" width="3.140625" style="46" customWidth="1"/>
    <col min="6" max="6" width="13.140625" style="46" customWidth="1"/>
    <col min="7" max="7" width="2.5703125" style="46" customWidth="1"/>
    <col min="8" max="8" width="12.42578125" style="46" customWidth="1"/>
    <col min="9" max="9" width="21" style="46" customWidth="1"/>
    <col min="10" max="10" width="14.28515625" style="46" customWidth="1"/>
    <col min="11" max="11" width="2.5703125" style="46" customWidth="1"/>
    <col min="12" max="12" width="12.7109375" style="46" customWidth="1"/>
    <col min="13" max="16384" width="9.140625" style="46"/>
  </cols>
  <sheetData>
    <row r="1" spans="1:12" ht="18">
      <c r="A1" s="834" t="s">
        <v>902</v>
      </c>
      <c r="B1" s="44"/>
      <c r="C1" s="44"/>
      <c r="D1" s="44"/>
      <c r="E1" s="44"/>
      <c r="F1" s="45"/>
      <c r="G1" s="45"/>
    </row>
    <row r="2" spans="1:12" ht="15.75">
      <c r="A2" s="42" t="s">
        <v>912</v>
      </c>
      <c r="B2" s="44"/>
      <c r="C2" s="44"/>
      <c r="D2" s="44"/>
      <c r="E2" s="44"/>
      <c r="F2" s="45"/>
      <c r="G2" s="45"/>
    </row>
    <row r="3" spans="1:12">
      <c r="A3" s="370" t="s">
        <v>1162</v>
      </c>
      <c r="B3" s="527"/>
      <c r="C3" s="527"/>
      <c r="D3" s="527"/>
      <c r="E3" s="527"/>
      <c r="F3" s="528"/>
      <c r="G3" s="528"/>
    </row>
    <row r="4" spans="1:12" ht="13.5" thickBot="1">
      <c r="A4" s="569"/>
      <c r="B4" s="527"/>
      <c r="C4" s="527"/>
      <c r="D4" s="527"/>
      <c r="E4" s="527"/>
      <c r="F4" s="528"/>
      <c r="G4" s="528"/>
    </row>
    <row r="5" spans="1:12" ht="13.9" customHeight="1">
      <c r="A5" s="533"/>
      <c r="B5" s="1386" t="s">
        <v>913</v>
      </c>
      <c r="C5" s="1386"/>
      <c r="D5" s="1386"/>
      <c r="E5" s="1387"/>
      <c r="F5" s="1388"/>
      <c r="G5" s="534"/>
      <c r="H5" s="1389" t="s">
        <v>913</v>
      </c>
      <c r="I5" s="1386"/>
      <c r="J5" s="1386"/>
      <c r="K5" s="1387"/>
      <c r="L5" s="1390"/>
    </row>
    <row r="6" spans="1:12">
      <c r="A6" s="514"/>
      <c r="B6" s="1391" t="s">
        <v>914</v>
      </c>
      <c r="C6" s="1391"/>
      <c r="D6" s="1391"/>
      <c r="E6" s="1392"/>
      <c r="F6" s="1393"/>
      <c r="G6" s="535"/>
      <c r="H6" s="1394" t="s">
        <v>915</v>
      </c>
      <c r="I6" s="1391"/>
      <c r="J6" s="1391"/>
      <c r="K6" s="1392"/>
      <c r="L6" s="1377"/>
    </row>
    <row r="7" spans="1:12">
      <c r="A7" s="514"/>
      <c r="B7" s="507"/>
      <c r="C7" s="507"/>
      <c r="D7" s="507"/>
      <c r="E7" s="536"/>
      <c r="F7" s="518"/>
      <c r="G7" s="535"/>
      <c r="H7" s="510"/>
      <c r="I7" s="507"/>
      <c r="J7" s="507"/>
      <c r="K7" s="536"/>
      <c r="L7" s="509"/>
    </row>
    <row r="8" spans="1:12">
      <c r="A8" s="514" t="s">
        <v>905</v>
      </c>
      <c r="B8" s="507" t="s">
        <v>903</v>
      </c>
      <c r="C8" s="509" t="s">
        <v>916</v>
      </c>
      <c r="D8" s="509" t="s">
        <v>39</v>
      </c>
      <c r="E8" s="536"/>
      <c r="F8" s="518" t="s">
        <v>894</v>
      </c>
      <c r="G8" s="535"/>
      <c r="H8" s="510" t="s">
        <v>903</v>
      </c>
      <c r="I8" s="509" t="s">
        <v>916</v>
      </c>
      <c r="J8" s="509" t="s">
        <v>39</v>
      </c>
      <c r="K8" s="536"/>
      <c r="L8" s="509" t="s">
        <v>894</v>
      </c>
    </row>
    <row r="9" spans="1:12">
      <c r="A9" s="515" t="s">
        <v>906</v>
      </c>
      <c r="B9" s="508" t="s">
        <v>404</v>
      </c>
      <c r="C9" s="506" t="s">
        <v>917</v>
      </c>
      <c r="D9" s="506" t="s">
        <v>41</v>
      </c>
      <c r="E9" s="506"/>
      <c r="F9" s="517" t="s">
        <v>907</v>
      </c>
      <c r="G9" s="537"/>
      <c r="H9" s="511" t="s">
        <v>404</v>
      </c>
      <c r="I9" s="506" t="s">
        <v>917</v>
      </c>
      <c r="J9" s="506" t="s">
        <v>41</v>
      </c>
      <c r="K9" s="506"/>
      <c r="L9" s="519" t="s">
        <v>907</v>
      </c>
    </row>
    <row r="10" spans="1:12">
      <c r="A10" s="514"/>
      <c r="B10" s="507"/>
      <c r="C10" s="513"/>
      <c r="D10" s="513"/>
      <c r="E10" s="513"/>
      <c r="F10" s="518"/>
      <c r="G10" s="535"/>
      <c r="H10" s="510"/>
      <c r="I10" s="513"/>
      <c r="J10" s="513"/>
      <c r="K10" s="513"/>
      <c r="L10" s="509"/>
    </row>
    <row r="11" spans="1:12">
      <c r="A11" s="512" t="s">
        <v>904</v>
      </c>
      <c r="B11" s="538">
        <v>493</v>
      </c>
      <c r="C11" s="539">
        <v>809701</v>
      </c>
      <c r="D11" s="539">
        <v>592802</v>
      </c>
      <c r="E11" s="540"/>
      <c r="F11" s="541">
        <v>1.02282618113856E-3</v>
      </c>
      <c r="G11" s="542"/>
      <c r="H11" s="543">
        <v>1929</v>
      </c>
      <c r="I11" s="539">
        <v>1553821.16</v>
      </c>
      <c r="J11" s="539">
        <v>35203.629999999997</v>
      </c>
      <c r="K11" s="540"/>
      <c r="L11" s="544">
        <v>1.62712800203465E-3</v>
      </c>
    </row>
    <row r="12" spans="1:12">
      <c r="A12" s="512" t="s">
        <v>44</v>
      </c>
      <c r="B12" s="538">
        <v>32</v>
      </c>
      <c r="C12" s="540">
        <v>1207470</v>
      </c>
      <c r="D12" s="538">
        <v>27631</v>
      </c>
      <c r="E12" s="540"/>
      <c r="F12" s="541">
        <v>4.7674788902600802E-5</v>
      </c>
      <c r="G12" s="542"/>
      <c r="H12" s="543">
        <v>70</v>
      </c>
      <c r="I12" s="540">
        <v>2425727.2599999998</v>
      </c>
      <c r="J12" s="538">
        <v>54591.38</v>
      </c>
      <c r="K12" s="540"/>
      <c r="L12" s="544">
        <v>2.5232387417920901E-3</v>
      </c>
    </row>
    <row r="13" spans="1:12">
      <c r="A13" s="512" t="s">
        <v>45</v>
      </c>
      <c r="B13" s="538">
        <v>35</v>
      </c>
      <c r="C13" s="540">
        <v>2560139</v>
      </c>
      <c r="D13" s="538">
        <v>57603</v>
      </c>
      <c r="E13" s="540"/>
      <c r="F13" s="541">
        <v>9.9388761360664203E-5</v>
      </c>
      <c r="G13" s="542"/>
      <c r="H13" s="543">
        <v>69</v>
      </c>
      <c r="I13" s="540">
        <v>4999269.57</v>
      </c>
      <c r="J13" s="538">
        <v>112481.87</v>
      </c>
      <c r="K13" s="540"/>
      <c r="L13" s="544">
        <v>5.1989638681641899E-3</v>
      </c>
    </row>
    <row r="14" spans="1:12">
      <c r="A14" s="512" t="s">
        <v>46</v>
      </c>
      <c r="B14" s="538">
        <v>170</v>
      </c>
      <c r="C14" s="540">
        <v>47338535</v>
      </c>
      <c r="D14" s="538">
        <v>1056759</v>
      </c>
      <c r="E14" s="540"/>
      <c r="F14" s="541">
        <v>1.82334197987491E-3</v>
      </c>
      <c r="G14" s="542"/>
      <c r="H14" s="543">
        <v>178</v>
      </c>
      <c r="I14" s="540">
        <v>41607450.270000003</v>
      </c>
      <c r="J14" s="538">
        <v>936342.86</v>
      </c>
      <c r="K14" s="540"/>
      <c r="L14" s="544">
        <v>4.3278198498598201E-2</v>
      </c>
    </row>
    <row r="15" spans="1:12">
      <c r="A15" s="512" t="s">
        <v>47</v>
      </c>
      <c r="B15" s="538">
        <v>82</v>
      </c>
      <c r="C15" s="540">
        <v>62703494</v>
      </c>
      <c r="D15" s="538">
        <v>1398735</v>
      </c>
      <c r="E15" s="540"/>
      <c r="F15" s="541">
        <v>2.4133906067706299E-3</v>
      </c>
      <c r="G15" s="542"/>
      <c r="H15" s="543">
        <v>46</v>
      </c>
      <c r="I15" s="540">
        <v>33186231.199999999</v>
      </c>
      <c r="J15" s="538">
        <v>746690.58</v>
      </c>
      <c r="K15" s="540"/>
      <c r="L15" s="544">
        <v>3.4512382716597498E-2</v>
      </c>
    </row>
    <row r="16" spans="1:12">
      <c r="A16" s="512" t="s">
        <v>48</v>
      </c>
      <c r="B16" s="538">
        <v>117</v>
      </c>
      <c r="C16" s="540">
        <v>168852357</v>
      </c>
      <c r="D16" s="538">
        <v>3799183</v>
      </c>
      <c r="E16" s="540"/>
      <c r="F16" s="541">
        <v>6.5551463040552102E-3</v>
      </c>
      <c r="G16" s="542"/>
      <c r="H16" s="543">
        <v>36</v>
      </c>
      <c r="I16" s="540">
        <v>48641484.869999997</v>
      </c>
      <c r="J16" s="538">
        <v>1094433.33</v>
      </c>
      <c r="K16" s="540"/>
      <c r="L16" s="544">
        <v>5.0585212877280697E-2</v>
      </c>
    </row>
    <row r="17" spans="1:12">
      <c r="A17" s="512" t="s">
        <v>49</v>
      </c>
      <c r="B17" s="538">
        <v>272</v>
      </c>
      <c r="C17" s="540">
        <v>1393526174</v>
      </c>
      <c r="D17" s="538">
        <v>31071725</v>
      </c>
      <c r="E17" s="540"/>
      <c r="F17" s="541">
        <v>5.3611448380973002E-2</v>
      </c>
      <c r="G17" s="542"/>
      <c r="H17" s="543">
        <v>44</v>
      </c>
      <c r="I17" s="540">
        <v>216719935.00999999</v>
      </c>
      <c r="J17" s="538">
        <v>4876199.3600000003</v>
      </c>
      <c r="K17" s="540"/>
      <c r="L17" s="544">
        <v>0.225380181593757</v>
      </c>
    </row>
    <row r="18" spans="1:12">
      <c r="A18" s="512" t="s">
        <v>50</v>
      </c>
      <c r="B18" s="538">
        <v>334</v>
      </c>
      <c r="C18" s="540">
        <v>24275076554</v>
      </c>
      <c r="D18" s="538">
        <v>544188422</v>
      </c>
      <c r="E18" s="540"/>
      <c r="F18" s="541">
        <v>0.93894785357350197</v>
      </c>
      <c r="G18" s="542"/>
      <c r="H18" s="543">
        <v>22</v>
      </c>
      <c r="I18" s="540">
        <v>646657997.72000003</v>
      </c>
      <c r="J18" s="538">
        <v>14549804.619999999</v>
      </c>
      <c r="K18" s="540"/>
      <c r="L18" s="544">
        <v>0.67249867474845804</v>
      </c>
    </row>
    <row r="19" spans="1:12">
      <c r="A19" s="512"/>
      <c r="B19" s="540"/>
      <c r="C19" s="540"/>
      <c r="D19" s="540"/>
      <c r="E19" s="540"/>
      <c r="F19" s="545"/>
      <c r="G19" s="546"/>
      <c r="H19" s="547"/>
      <c r="I19" s="540"/>
      <c r="J19" s="540"/>
      <c r="K19" s="540"/>
      <c r="L19" s="548"/>
    </row>
    <row r="20" spans="1:12">
      <c r="A20" s="549" t="s">
        <v>51</v>
      </c>
      <c r="B20" s="550">
        <f>SUM(B11:B18)</f>
        <v>1535</v>
      </c>
      <c r="C20" s="551">
        <f>SUM(C11:C18)</f>
        <v>25952074424</v>
      </c>
      <c r="D20" s="551">
        <f>SUM(D11:D18)</f>
        <v>582192860</v>
      </c>
      <c r="E20" s="552"/>
      <c r="F20" s="553">
        <f>SUM(F11:F18)</f>
        <v>1.0045210705765775</v>
      </c>
      <c r="G20" s="554"/>
      <c r="H20" s="555">
        <f>SUM(H11:H18)</f>
        <v>2394</v>
      </c>
      <c r="I20" s="551">
        <f>SUM(I11:I18)</f>
        <v>995791917.06000006</v>
      </c>
      <c r="J20" s="551">
        <f>SUM(J11:J18)</f>
        <v>22405747.629999999</v>
      </c>
      <c r="K20" s="552"/>
      <c r="L20" s="556">
        <f>SUM(L11:L18)</f>
        <v>1.0356039810466824</v>
      </c>
    </row>
    <row r="21" spans="1:12">
      <c r="A21" s="524"/>
      <c r="B21" s="540"/>
      <c r="C21" s="540"/>
      <c r="D21" s="540"/>
      <c r="E21" s="540"/>
      <c r="F21" s="545"/>
      <c r="G21" s="548"/>
      <c r="H21" s="547"/>
      <c r="I21" s="540"/>
      <c r="J21" s="540"/>
      <c r="K21" s="540"/>
      <c r="L21" s="548"/>
    </row>
    <row r="22" spans="1:12">
      <c r="A22" s="516" t="s">
        <v>52</v>
      </c>
      <c r="B22" s="557">
        <v>-6</v>
      </c>
      <c r="C22" s="558">
        <v>-95158434.349998504</v>
      </c>
      <c r="D22" s="558">
        <v>-2620288.5000001201</v>
      </c>
      <c r="E22" s="540"/>
      <c r="F22" s="1206">
        <v>-4.5210705765776904E-3</v>
      </c>
      <c r="G22" s="559"/>
      <c r="H22" s="560">
        <v>-21</v>
      </c>
      <c r="I22" s="558">
        <v>-34188859.820000097</v>
      </c>
      <c r="J22" s="558">
        <v>-770307.78999999899</v>
      </c>
      <c r="K22" s="540"/>
      <c r="L22" s="544">
        <v>-3.5603981046682498E-2</v>
      </c>
    </row>
    <row r="23" spans="1:12">
      <c r="A23" s="526"/>
      <c r="B23" s="540"/>
      <c r="C23" s="540"/>
      <c r="D23" s="540"/>
      <c r="E23" s="540"/>
      <c r="F23" s="561"/>
      <c r="G23" s="559"/>
      <c r="H23" s="547"/>
      <c r="I23" s="540"/>
      <c r="J23" s="540"/>
      <c r="K23" s="540"/>
      <c r="L23" s="562"/>
    </row>
    <row r="24" spans="1:12" ht="13.5" thickBot="1">
      <c r="A24" s="570" t="s">
        <v>911</v>
      </c>
      <c r="B24" s="571">
        <f>SUM(B20,B22)</f>
        <v>1529</v>
      </c>
      <c r="C24" s="572">
        <f>SUM(C20,C22)</f>
        <v>25856915989.650002</v>
      </c>
      <c r="D24" s="572">
        <f>SUM(D20,D22)</f>
        <v>579572571.49999988</v>
      </c>
      <c r="E24" s="573"/>
      <c r="F24" s="574">
        <f>SUM(F20,F22)</f>
        <v>0.99999999999999978</v>
      </c>
      <c r="G24" s="575"/>
      <c r="H24" s="571">
        <f>SUM(H20,H22)</f>
        <v>2373</v>
      </c>
      <c r="I24" s="572">
        <f>SUM(I20,I22)</f>
        <v>961603057.24000001</v>
      </c>
      <c r="J24" s="572">
        <f>SUM(J20,J22)</f>
        <v>21635439.84</v>
      </c>
      <c r="K24" s="573"/>
      <c r="L24" s="574">
        <f>SUM(L20,L22)</f>
        <v>0.99999999999999989</v>
      </c>
    </row>
    <row r="25" spans="1:12" ht="13.5" thickTop="1">
      <c r="A25" s="468"/>
      <c r="B25" s="89"/>
      <c r="C25" s="89"/>
      <c r="D25" s="89"/>
      <c r="E25" s="89"/>
      <c r="F25" s="90"/>
      <c r="G25" s="90"/>
    </row>
    <row r="26" spans="1:12" ht="15.75">
      <c r="A26" s="576" t="s">
        <v>1163</v>
      </c>
      <c r="B26" s="89"/>
      <c r="C26" s="89"/>
      <c r="D26" s="89"/>
      <c r="E26" s="89"/>
      <c r="F26" s="90"/>
      <c r="G26" s="90"/>
    </row>
    <row r="27" spans="1:12" ht="16.5" thickBot="1">
      <c r="A27" s="576"/>
      <c r="B27" s="89"/>
      <c r="C27" s="89"/>
      <c r="D27" s="89"/>
      <c r="E27" s="89"/>
      <c r="F27" s="90"/>
      <c r="G27" s="90"/>
    </row>
    <row r="28" spans="1:12" ht="16.899999999999999" customHeight="1">
      <c r="A28" s="805" t="s">
        <v>925</v>
      </c>
      <c r="B28" s="806"/>
      <c r="C28" s="848"/>
      <c r="D28" s="807" t="s">
        <v>924</v>
      </c>
      <c r="E28" s="577"/>
      <c r="F28" s="850"/>
      <c r="G28" s="90"/>
    </row>
    <row r="29" spans="1:12">
      <c r="A29" s="892" t="s">
        <v>316</v>
      </c>
      <c r="B29" s="525"/>
      <c r="C29" s="904"/>
      <c r="D29" s="905">
        <v>29820333.469999999</v>
      </c>
      <c r="E29" s="89"/>
      <c r="F29" s="851"/>
      <c r="G29" s="90"/>
    </row>
    <row r="30" spans="1:12">
      <c r="A30" s="906" t="s">
        <v>938</v>
      </c>
      <c r="B30" s="525"/>
      <c r="C30" s="849"/>
      <c r="D30" s="907">
        <v>5457941.5499999998</v>
      </c>
      <c r="E30" s="89"/>
      <c r="F30" s="852"/>
      <c r="G30" s="90"/>
    </row>
    <row r="31" spans="1:12">
      <c r="A31" s="906"/>
      <c r="B31" s="525"/>
      <c r="C31" s="849"/>
      <c r="D31" s="908"/>
      <c r="E31" s="89"/>
      <c r="F31" s="852"/>
      <c r="G31" s="90"/>
    </row>
    <row r="32" spans="1:12" ht="13.15" customHeight="1">
      <c r="A32" s="524" t="s">
        <v>1</v>
      </c>
      <c r="B32" s="1223"/>
      <c r="C32" s="849"/>
      <c r="D32" s="525"/>
      <c r="E32" s="525"/>
      <c r="F32" s="563"/>
      <c r="G32" s="563"/>
    </row>
    <row r="33" spans="1:12" ht="30" customHeight="1">
      <c r="A33" s="1351" t="s">
        <v>922</v>
      </c>
      <c r="B33" s="1316"/>
      <c r="C33" s="1316"/>
      <c r="D33" s="1316"/>
      <c r="E33" s="1316"/>
      <c r="F33" s="1316"/>
      <c r="G33" s="1316"/>
      <c r="H33" s="1316"/>
      <c r="I33" s="1316"/>
      <c r="J33" s="1316"/>
      <c r="K33" s="1316"/>
      <c r="L33" s="1316"/>
    </row>
    <row r="34" spans="1:12" ht="31.15" customHeight="1">
      <c r="A34" s="1351" t="s">
        <v>921</v>
      </c>
      <c r="B34" s="1316"/>
      <c r="C34" s="1316"/>
      <c r="D34" s="1316"/>
      <c r="E34" s="1316"/>
      <c r="F34" s="1316"/>
      <c r="G34" s="1316"/>
      <c r="H34" s="1316"/>
      <c r="I34" s="1316"/>
      <c r="J34" s="1316"/>
      <c r="K34" s="1316"/>
      <c r="L34" s="1316"/>
    </row>
    <row r="35" spans="1:12" ht="41.25" customHeight="1">
      <c r="A35" s="1351" t="s">
        <v>1193</v>
      </c>
      <c r="B35" s="1316"/>
      <c r="C35" s="1316"/>
      <c r="D35" s="1316"/>
      <c r="E35" s="1316"/>
      <c r="F35" s="1316"/>
      <c r="G35" s="1316"/>
      <c r="H35" s="1316"/>
      <c r="I35" s="1316"/>
      <c r="J35" s="1316"/>
      <c r="K35" s="1316"/>
      <c r="L35" s="1316"/>
    </row>
    <row r="36" spans="1:12" ht="15" customHeight="1">
      <c r="A36" s="526" t="s">
        <v>918</v>
      </c>
      <c r="B36" s="527"/>
      <c r="C36" s="527"/>
      <c r="D36" s="527"/>
      <c r="E36" s="527"/>
      <c r="F36" s="528"/>
      <c r="G36" s="528"/>
      <c r="H36" s="527"/>
      <c r="I36" s="527"/>
      <c r="J36" s="528"/>
      <c r="K36" s="528"/>
      <c r="L36" s="529"/>
    </row>
    <row r="37" spans="1:12" ht="13.9" customHeight="1">
      <c r="A37" s="370" t="s">
        <v>919</v>
      </c>
      <c r="B37" s="527"/>
      <c r="C37" s="527"/>
      <c r="D37" s="527"/>
      <c r="E37" s="527"/>
      <c r="F37" s="528"/>
      <c r="G37" s="528"/>
      <c r="H37" s="527"/>
      <c r="I37" s="527"/>
      <c r="J37" s="528"/>
      <c r="K37" s="528"/>
      <c r="L37" s="529"/>
    </row>
    <row r="38" spans="1:12" ht="14.45" customHeight="1">
      <c r="A38" s="370" t="s">
        <v>920</v>
      </c>
      <c r="B38" s="527"/>
      <c r="C38" s="527"/>
      <c r="D38" s="527"/>
      <c r="E38" s="527"/>
      <c r="F38" s="528"/>
      <c r="G38" s="528"/>
      <c r="H38" s="527"/>
      <c r="I38" s="527"/>
      <c r="J38" s="528"/>
      <c r="K38" s="528"/>
      <c r="L38" s="527"/>
    </row>
    <row r="39" spans="1:12">
      <c r="A39" s="370" t="s">
        <v>1164</v>
      </c>
      <c r="B39" s="527"/>
      <c r="C39" s="527"/>
      <c r="D39" s="527"/>
      <c r="E39" s="527"/>
      <c r="F39" s="528"/>
      <c r="G39" s="528"/>
    </row>
    <row r="40" spans="1:12">
      <c r="A40" s="844" t="s">
        <v>943</v>
      </c>
      <c r="B40" s="527"/>
      <c r="C40" s="527"/>
      <c r="D40" s="527"/>
      <c r="E40" s="527"/>
      <c r="F40" s="528"/>
      <c r="G40" s="528"/>
    </row>
    <row r="41" spans="1:12">
      <c r="A41" s="370"/>
      <c r="B41" s="527"/>
      <c r="C41" s="527"/>
      <c r="D41" s="527"/>
      <c r="E41" s="527"/>
      <c r="F41" s="528"/>
      <c r="G41" s="528"/>
    </row>
    <row r="42" spans="1:12">
      <c r="A42" s="1347"/>
      <c r="B42" s="1347"/>
      <c r="C42" s="1347"/>
      <c r="D42" s="1347"/>
      <c r="E42" s="1347"/>
      <c r="F42" s="1347"/>
      <c r="G42" s="1347"/>
    </row>
    <row r="43" spans="1:12">
      <c r="A43" s="1349"/>
      <c r="B43" s="1349"/>
      <c r="C43" s="1349"/>
      <c r="D43" s="1349"/>
      <c r="E43" s="1349"/>
      <c r="F43" s="1349"/>
      <c r="G43" s="1349"/>
    </row>
  </sheetData>
  <mergeCells count="9">
    <mergeCell ref="A42:G42"/>
    <mergeCell ref="A43:G43"/>
    <mergeCell ref="B5:F5"/>
    <mergeCell ref="H5:L5"/>
    <mergeCell ref="B6:F6"/>
    <mergeCell ref="H6:L6"/>
    <mergeCell ref="A33:L33"/>
    <mergeCell ref="A34:L34"/>
    <mergeCell ref="A35:L35"/>
  </mergeCells>
  <pageMargins left="0.5" right="0.5" top="1" bottom="1" header="0.5" footer="0.5"/>
  <pageSetup scale="7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workbookViewId="0">
      <selection activeCell="B1" sqref="B1"/>
    </sheetView>
  </sheetViews>
  <sheetFormatPr defaultColWidth="8.7109375" defaultRowHeight="12.75"/>
  <cols>
    <col min="1" max="1" width="1.42578125" style="1085" customWidth="1"/>
    <col min="2" max="2" width="9.85546875" style="1085" customWidth="1"/>
    <col min="3" max="5" width="17.28515625" style="1085" customWidth="1"/>
    <col min="6" max="6" width="17.5703125" style="1085" customWidth="1"/>
    <col min="7" max="8" width="17.28515625" style="1085" customWidth="1"/>
    <col min="9" max="16384" width="8.7109375" style="1085"/>
  </cols>
  <sheetData>
    <row r="1" spans="2:15">
      <c r="B1" s="1084" t="s">
        <v>810</v>
      </c>
    </row>
    <row r="2" spans="2:15" ht="13.5" thickBot="1">
      <c r="B2" s="1395" t="s">
        <v>1104</v>
      </c>
      <c r="C2" s="1395"/>
      <c r="D2" s="1395"/>
      <c r="E2" s="1395"/>
      <c r="F2" s="1395"/>
      <c r="G2" s="1395"/>
      <c r="H2" s="1395"/>
    </row>
    <row r="3" spans="2:15" s="1088" customFormat="1" ht="14.25" customHeight="1">
      <c r="B3" s="1086" t="s">
        <v>21</v>
      </c>
      <c r="C3" s="1087" t="s">
        <v>38</v>
      </c>
      <c r="D3" s="1086" t="s">
        <v>1105</v>
      </c>
      <c r="E3" s="1086" t="s">
        <v>1106</v>
      </c>
      <c r="F3" s="1086" t="s">
        <v>1107</v>
      </c>
      <c r="G3" s="1086" t="s">
        <v>1108</v>
      </c>
      <c r="H3" s="1086" t="s">
        <v>17</v>
      </c>
    </row>
    <row r="4" spans="2:15" s="1088" customFormat="1">
      <c r="B4" s="1089" t="s">
        <v>1109</v>
      </c>
      <c r="C4" s="1089" t="s">
        <v>1080</v>
      </c>
      <c r="D4" s="1089" t="s">
        <v>1110</v>
      </c>
      <c r="E4" s="1089" t="s">
        <v>1111</v>
      </c>
      <c r="F4" s="1089" t="s">
        <v>1112</v>
      </c>
      <c r="G4" s="1089" t="s">
        <v>1113</v>
      </c>
      <c r="H4" s="1089" t="s">
        <v>1114</v>
      </c>
    </row>
    <row r="5" spans="2:15">
      <c r="C5" s="1090"/>
    </row>
    <row r="6" spans="2:15">
      <c r="C6" s="1091"/>
      <c r="D6" s="1091"/>
      <c r="E6" s="1091"/>
      <c r="F6" s="1091"/>
      <c r="G6" s="1091"/>
      <c r="H6" s="1091"/>
    </row>
    <row r="7" spans="2:15">
      <c r="B7" s="1092" t="s">
        <v>1115</v>
      </c>
    </row>
    <row r="8" spans="2:15">
      <c r="B8" s="1093">
        <v>2015</v>
      </c>
      <c r="C8" s="1094">
        <v>1031975708795</v>
      </c>
      <c r="D8" s="1094">
        <v>84093951055.669998</v>
      </c>
      <c r="E8" s="1094">
        <v>10873635297.74</v>
      </c>
      <c r="F8" s="1094">
        <v>1266956460</v>
      </c>
      <c r="G8" s="1094">
        <v>44154961529</v>
      </c>
      <c r="H8" s="1094">
        <v>1172365213137.4099</v>
      </c>
      <c r="I8" s="1095"/>
      <c r="J8" s="1095"/>
      <c r="K8" s="1095"/>
      <c r="L8" s="1095"/>
      <c r="M8" s="1095"/>
      <c r="N8" s="1095"/>
      <c r="O8" s="1095"/>
    </row>
    <row r="9" spans="2:15" s="1098" customFormat="1">
      <c r="B9" s="1093">
        <v>2016</v>
      </c>
      <c r="C9" s="1096">
        <v>1060436113127</v>
      </c>
      <c r="D9" s="1096">
        <v>88866533959.080002</v>
      </c>
      <c r="E9" s="1096">
        <v>10916098009.690001</v>
      </c>
      <c r="F9" s="1096">
        <v>1349538948</v>
      </c>
      <c r="G9" s="1096">
        <v>46266995318</v>
      </c>
      <c r="H9" s="1097">
        <v>1207835279361.77</v>
      </c>
      <c r="I9" s="1095"/>
      <c r="J9" s="1095"/>
      <c r="K9" s="1095"/>
      <c r="L9" s="1095"/>
      <c r="M9" s="1095"/>
      <c r="N9" s="1095"/>
      <c r="O9" s="1095"/>
    </row>
    <row r="10" spans="2:15" s="1098" customFormat="1">
      <c r="B10" s="1093">
        <v>2017</v>
      </c>
      <c r="C10" s="1097">
        <v>1091729146412</v>
      </c>
      <c r="D10" s="1097">
        <v>92876379259.282059</v>
      </c>
      <c r="E10" s="1097">
        <v>10937094637.461905</v>
      </c>
      <c r="F10" s="1097">
        <v>1412648166</v>
      </c>
      <c r="G10" s="1097">
        <v>48006343392</v>
      </c>
      <c r="H10" s="1097">
        <v>1244961611866.7439</v>
      </c>
      <c r="I10" s="1095"/>
      <c r="J10" s="1095"/>
      <c r="K10" s="1095"/>
      <c r="L10" s="1095"/>
      <c r="M10" s="1095"/>
      <c r="N10" s="1095"/>
      <c r="O10" s="1095"/>
    </row>
    <row r="11" spans="2:15" s="1098" customFormat="1">
      <c r="B11" s="1093">
        <v>2018</v>
      </c>
      <c r="C11" s="1097">
        <v>1130944150751.6799</v>
      </c>
      <c r="D11" s="1097">
        <v>97202215738.300018</v>
      </c>
      <c r="E11" s="1097">
        <v>11207635106.190001</v>
      </c>
      <c r="F11" s="1097">
        <v>1360441391</v>
      </c>
      <c r="G11" s="1097">
        <v>50028306681.440002</v>
      </c>
      <c r="H11" s="1097">
        <v>1290742749668.6099</v>
      </c>
      <c r="I11" s="1095"/>
      <c r="J11" s="1095"/>
      <c r="K11" s="1095"/>
      <c r="L11" s="1095"/>
      <c r="M11" s="1095"/>
      <c r="N11" s="1095"/>
      <c r="O11" s="1095"/>
    </row>
    <row r="12" spans="2:15" s="1098" customFormat="1">
      <c r="B12" s="1099">
        <f>B11+1</f>
        <v>2019</v>
      </c>
      <c r="C12" s="1100">
        <f>'Table 6.2'!F196</f>
        <v>1172449791555</v>
      </c>
      <c r="D12" s="1100">
        <f>'Table 6.4'!B201</f>
        <v>98726651736.200012</v>
      </c>
      <c r="E12" s="1100">
        <f>'Table 6.4'!F201</f>
        <v>11567370427.889999</v>
      </c>
      <c r="F12" s="1100">
        <f>'Table 6.4'!J201</f>
        <v>1344289010.71</v>
      </c>
      <c r="G12" s="1100">
        <f>'Table 6.4'!N201</f>
        <v>49209543842.540001</v>
      </c>
      <c r="H12" s="1100">
        <f>SUM(C12:G12)</f>
        <v>1333297646572.3398</v>
      </c>
      <c r="I12" s="1095"/>
    </row>
    <row r="13" spans="2:15">
      <c r="C13" s="1101"/>
      <c r="D13" s="1101"/>
      <c r="E13" s="1101"/>
      <c r="F13" s="1101"/>
      <c r="G13" s="1101"/>
      <c r="H13" s="1101"/>
    </row>
    <row r="14" spans="2:15">
      <c r="B14" s="1092" t="s">
        <v>1116</v>
      </c>
      <c r="C14" s="1102"/>
      <c r="D14" s="1102"/>
      <c r="E14" s="1102"/>
      <c r="F14" s="1102"/>
      <c r="G14" s="1102"/>
      <c r="H14" s="1102"/>
    </row>
    <row r="15" spans="2:15">
      <c r="B15" s="1093">
        <f>B8</f>
        <v>2015</v>
      </c>
      <c r="C15" s="1094">
        <v>10007871602.596775</v>
      </c>
      <c r="D15" s="1094">
        <v>3012973186.0262656</v>
      </c>
      <c r="E15" s="1094">
        <v>215708233.76555002</v>
      </c>
      <c r="F15" s="1094">
        <v>13274973.785999998</v>
      </c>
      <c r="G15" s="1094">
        <v>364855303.00326002</v>
      </c>
      <c r="H15" s="1094">
        <v>13614683299.177851</v>
      </c>
      <c r="I15" s="1095"/>
      <c r="J15" s="1095"/>
      <c r="K15" s="1095"/>
      <c r="L15" s="1095"/>
      <c r="M15" s="1095"/>
      <c r="N15" s="1095"/>
    </row>
    <row r="16" spans="2:15" s="1098" customFormat="1">
      <c r="B16" s="1093">
        <f>B9</f>
        <v>2016</v>
      </c>
      <c r="C16" s="1097">
        <v>10446834664.72967</v>
      </c>
      <c r="D16" s="1097">
        <v>3108724600.9577131</v>
      </c>
      <c r="E16" s="1097">
        <v>220024079.66569999</v>
      </c>
      <c r="F16" s="1097">
        <v>14028692.103300003</v>
      </c>
      <c r="G16" s="1097">
        <v>408732706.07139993</v>
      </c>
      <c r="H16" s="1097">
        <v>14198344743.527782</v>
      </c>
      <c r="I16" s="1095"/>
      <c r="J16" s="1095"/>
      <c r="K16" s="1095"/>
      <c r="L16" s="1095"/>
      <c r="M16" s="1095"/>
      <c r="N16" s="1095"/>
    </row>
    <row r="17" spans="2:14" s="1098" customFormat="1">
      <c r="B17" s="1093">
        <f>B10</f>
        <v>2017</v>
      </c>
      <c r="C17" s="1097">
        <v>10820224510.957804</v>
      </c>
      <c r="D17" s="1097">
        <v>3279499565.8478804</v>
      </c>
      <c r="E17" s="1097">
        <v>232207933.77725005</v>
      </c>
      <c r="F17" s="1097">
        <v>14034594.904299999</v>
      </c>
      <c r="G17" s="1097">
        <v>404358032.39963996</v>
      </c>
      <c r="H17" s="1097">
        <v>14750324637.886873</v>
      </c>
      <c r="I17" s="1095"/>
      <c r="J17" s="1095"/>
      <c r="K17" s="1095"/>
      <c r="L17" s="1095"/>
      <c r="M17" s="1095"/>
      <c r="N17" s="1095"/>
    </row>
    <row r="18" spans="2:14" s="1098" customFormat="1">
      <c r="B18" s="1093">
        <f>B11</f>
        <v>2018</v>
      </c>
      <c r="C18" s="1097">
        <v>11239557027.180504</v>
      </c>
      <c r="D18" s="1097">
        <v>3464493881.5964141</v>
      </c>
      <c r="E18" s="1097">
        <v>281779148.09530008</v>
      </c>
      <c r="F18" s="1097">
        <v>13905355.629000001</v>
      </c>
      <c r="G18" s="1097">
        <v>427590254.37099987</v>
      </c>
      <c r="H18" s="1097">
        <v>15427325666.872219</v>
      </c>
      <c r="I18" s="1095"/>
      <c r="J18" s="1095"/>
      <c r="K18" s="1095"/>
      <c r="L18" s="1095"/>
      <c r="M18" s="1095"/>
      <c r="N18" s="1095"/>
    </row>
    <row r="19" spans="2:14" s="1098" customFormat="1">
      <c r="B19" s="1099">
        <f>B12</f>
        <v>2019</v>
      </c>
      <c r="C19" s="1100">
        <f>'Table 6.2'!G196</f>
        <v>11654584398.700165</v>
      </c>
      <c r="D19" s="1100">
        <f>'Table 6.4'!D201</f>
        <v>3600959729.1374731</v>
      </c>
      <c r="E19" s="1100">
        <f>'Table 6.4'!H201</f>
        <v>227752597.23180002</v>
      </c>
      <c r="F19" s="1100">
        <f>'Table 6.4'!L201</f>
        <v>14010085.905490002</v>
      </c>
      <c r="G19" s="1100">
        <f>'Table 6.4'!P201</f>
        <v>409329416.85523003</v>
      </c>
      <c r="H19" s="1100">
        <f>SUM(C19:G19)</f>
        <v>15906636227.83016</v>
      </c>
    </row>
    <row r="20" spans="2:14">
      <c r="C20" s="1101"/>
      <c r="D20" s="1101"/>
      <c r="E20" s="1101"/>
      <c r="F20" s="1101"/>
      <c r="G20" s="1101"/>
      <c r="H20" s="1101"/>
    </row>
    <row r="21" spans="2:14">
      <c r="B21" s="1092" t="s">
        <v>1117</v>
      </c>
    </row>
    <row r="22" spans="2:14">
      <c r="B22" s="1093">
        <f>B15</f>
        <v>2015</v>
      </c>
      <c r="C22" s="1103">
        <f>C15/C8*100</f>
        <v>0.9697778268717776</v>
      </c>
      <c r="D22" s="1103">
        <f t="shared" ref="C22:H26" si="0">D15/D8*100</f>
        <v>3.5828655309960218</v>
      </c>
      <c r="E22" s="1103">
        <f t="shared" si="0"/>
        <v>1.9837729320421782</v>
      </c>
      <c r="F22" s="1103">
        <f t="shared" si="0"/>
        <v>1.0477845297067272</v>
      </c>
      <c r="G22" s="1103">
        <f t="shared" si="0"/>
        <v>0.82630646787820472</v>
      </c>
      <c r="H22" s="1103">
        <f t="shared" si="0"/>
        <v>1.1613005185255449</v>
      </c>
      <c r="I22" s="1095"/>
      <c r="J22" s="1095"/>
      <c r="K22" s="1095"/>
      <c r="L22" s="1095"/>
      <c r="M22" s="1095"/>
      <c r="N22" s="1095"/>
    </row>
    <row r="23" spans="2:14">
      <c r="B23" s="1093">
        <f>B16</f>
        <v>2016</v>
      </c>
      <c r="C23" s="1104">
        <f t="shared" si="0"/>
        <v>0.98514512429458689</v>
      </c>
      <c r="D23" s="1104">
        <f t="shared" si="0"/>
        <v>3.4981949474806506</v>
      </c>
      <c r="E23" s="1104">
        <f t="shared" si="0"/>
        <v>2.0155927463310519</v>
      </c>
      <c r="F23" s="1104">
        <f t="shared" si="0"/>
        <v>1.0395173940026223</v>
      </c>
      <c r="G23" s="1104">
        <f t="shared" si="0"/>
        <v>0.88342176374782644</v>
      </c>
      <c r="H23" s="1104">
        <f t="shared" si="0"/>
        <v>1.1755199559190144</v>
      </c>
      <c r="I23" s="1095"/>
      <c r="J23" s="1095"/>
      <c r="K23" s="1095"/>
      <c r="L23" s="1095"/>
      <c r="M23" s="1095"/>
      <c r="N23" s="1095"/>
    </row>
    <row r="24" spans="2:14">
      <c r="B24" s="1093">
        <f>B17</f>
        <v>2017</v>
      </c>
      <c r="C24" s="1104">
        <f t="shared" si="0"/>
        <v>0.99110887957134697</v>
      </c>
      <c r="D24" s="1104">
        <f t="shared" si="0"/>
        <v>3.5310372691128862</v>
      </c>
      <c r="E24" s="1104">
        <f t="shared" si="0"/>
        <v>2.1231226525359657</v>
      </c>
      <c r="F24" s="1104">
        <f t="shared" si="0"/>
        <v>0.99349542526500534</v>
      </c>
      <c r="G24" s="1104">
        <f t="shared" si="0"/>
        <v>0.84230125401932621</v>
      </c>
      <c r="H24" s="1104">
        <f t="shared" si="0"/>
        <v>1.1848015631397391</v>
      </c>
      <c r="I24" s="1095"/>
      <c r="J24" s="1095"/>
      <c r="K24" s="1095"/>
      <c r="L24" s="1095"/>
      <c r="M24" s="1095"/>
      <c r="N24" s="1095"/>
    </row>
    <row r="25" spans="2:14">
      <c r="B25" s="1093">
        <f>B18</f>
        <v>2018</v>
      </c>
      <c r="C25" s="1104">
        <f t="shared" si="0"/>
        <v>0.99382069571783482</v>
      </c>
      <c r="D25" s="1104">
        <f t="shared" si="0"/>
        <v>3.5642128682785983</v>
      </c>
      <c r="E25" s="1104">
        <f t="shared" si="0"/>
        <v>2.5141713254000648</v>
      </c>
      <c r="F25" s="1104">
        <f t="shared" si="0"/>
        <v>1.0221208881904711</v>
      </c>
      <c r="G25" s="1104">
        <f t="shared" si="0"/>
        <v>0.85469663623380554</v>
      </c>
      <c r="H25" s="1104">
        <f t="shared" si="0"/>
        <v>1.1952285357274397</v>
      </c>
      <c r="I25" s="1095"/>
      <c r="J25" s="1095"/>
      <c r="K25" s="1095"/>
      <c r="L25" s="1095"/>
      <c r="M25" s="1095"/>
      <c r="N25" s="1095"/>
    </row>
    <row r="26" spans="2:14">
      <c r="B26" s="1099">
        <f>B19</f>
        <v>2019</v>
      </c>
      <c r="C26" s="1105">
        <f>C19/C12*100</f>
        <v>0.99403697136087077</v>
      </c>
      <c r="D26" s="1105">
        <f>D19/D12*100</f>
        <v>3.6474038831574318</v>
      </c>
      <c r="E26" s="1105">
        <f t="shared" si="0"/>
        <v>1.9689228304011728</v>
      </c>
      <c r="F26" s="1105">
        <f t="shared" si="0"/>
        <v>1.042192995246642</v>
      </c>
      <c r="G26" s="1105">
        <f t="shared" si="0"/>
        <v>0.83180900470241403</v>
      </c>
      <c r="H26" s="1105">
        <f t="shared" si="0"/>
        <v>1.1930296486102081</v>
      </c>
    </row>
    <row r="27" spans="2:14" s="1098" customFormat="1">
      <c r="C27" s="1102"/>
      <c r="D27" s="1102"/>
      <c r="E27" s="1102"/>
      <c r="F27" s="1102"/>
      <c r="G27" s="1102"/>
      <c r="H27" s="1102"/>
    </row>
    <row r="28" spans="2:14">
      <c r="B28" s="1091" t="s">
        <v>19</v>
      </c>
      <c r="C28" s="1106"/>
      <c r="D28" s="1106"/>
      <c r="E28" s="1106"/>
      <c r="F28" s="1106"/>
      <c r="G28" s="1106"/>
      <c r="H28" s="1106"/>
    </row>
    <row r="29" spans="2:14">
      <c r="B29" s="1396" t="s">
        <v>1118</v>
      </c>
      <c r="C29" s="1396"/>
      <c r="D29" s="1396"/>
      <c r="E29" s="1396"/>
      <c r="F29" s="1396"/>
      <c r="G29" s="1396"/>
      <c r="H29" s="1396"/>
    </row>
    <row r="30" spans="2:14">
      <c r="B30" s="1107" t="s">
        <v>1119</v>
      </c>
      <c r="C30" s="1113">
        <f>C12/C11-1</f>
        <v>3.6699991574060897E-2</v>
      </c>
      <c r="D30" s="1113">
        <f t="shared" ref="D30:H30" si="1">D12/D11-1</f>
        <v>1.5683140413221386E-2</v>
      </c>
      <c r="E30" s="1113">
        <f t="shared" si="1"/>
        <v>3.2097344202553169E-2</v>
      </c>
      <c r="F30" s="1113">
        <f t="shared" si="1"/>
        <v>-1.1872896838376112E-2</v>
      </c>
      <c r="G30" s="1113">
        <f t="shared" si="1"/>
        <v>-1.636599143987727E-2</v>
      </c>
      <c r="H30" s="1113">
        <f t="shared" si="1"/>
        <v>3.2969309271468461E-2</v>
      </c>
    </row>
    <row r="31" spans="2:14" s="1107" customFormat="1">
      <c r="C31" s="1249"/>
      <c r="D31" s="1249"/>
      <c r="E31" s="1249"/>
      <c r="F31" s="1249"/>
      <c r="G31" s="1249"/>
      <c r="H31" s="1249"/>
    </row>
    <row r="32" spans="2:14" s="1107" customFormat="1">
      <c r="C32" s="1249"/>
      <c r="D32" s="1249"/>
      <c r="E32" s="1249"/>
      <c r="F32" s="1249"/>
      <c r="G32" s="1249"/>
      <c r="H32" s="1249"/>
    </row>
    <row r="33" spans="3:8" s="1107" customFormat="1">
      <c r="C33" s="1250"/>
      <c r="D33" s="1250"/>
      <c r="E33" s="1250"/>
      <c r="F33" s="1250"/>
      <c r="G33" s="1250"/>
      <c r="H33" s="1250"/>
    </row>
    <row r="34" spans="3:8" s="1107" customFormat="1">
      <c r="C34" s="1249"/>
      <c r="D34" s="1249"/>
      <c r="E34" s="1249"/>
      <c r="F34" s="1249"/>
      <c r="G34" s="1249"/>
      <c r="H34" s="1249"/>
    </row>
    <row r="35" spans="3:8" s="1107" customFormat="1">
      <c r="C35" s="1251"/>
      <c r="D35" s="1251"/>
      <c r="E35" s="1251"/>
      <c r="F35" s="1251"/>
      <c r="G35" s="1251"/>
      <c r="H35" s="1251"/>
    </row>
    <row r="36" spans="3:8" s="1107" customFormat="1">
      <c r="C36" s="1251"/>
      <c r="D36" s="1251"/>
      <c r="E36" s="1251"/>
      <c r="F36" s="1251"/>
      <c r="G36" s="1251"/>
      <c r="H36" s="1251"/>
    </row>
    <row r="37" spans="3:8" s="1107" customFormat="1">
      <c r="C37" s="1252"/>
      <c r="D37" s="1252"/>
      <c r="E37" s="1252"/>
      <c r="F37" s="1252"/>
      <c r="G37" s="1252"/>
      <c r="H37" s="1252"/>
    </row>
    <row r="38" spans="3:8" s="1107" customFormat="1">
      <c r="C38" s="1253"/>
      <c r="D38" s="1253"/>
      <c r="E38" s="1253"/>
      <c r="F38" s="1253"/>
      <c r="G38" s="1253"/>
      <c r="H38" s="1253"/>
    </row>
    <row r="39" spans="3:8" s="1107" customFormat="1">
      <c r="C39" s="1253"/>
      <c r="D39" s="1253"/>
      <c r="E39" s="1253"/>
      <c r="F39" s="1253"/>
      <c r="G39" s="1253"/>
      <c r="H39" s="1253"/>
    </row>
    <row r="40" spans="3:8" s="1107" customFormat="1">
      <c r="C40" s="1254"/>
      <c r="D40" s="1254"/>
      <c r="E40" s="1254"/>
      <c r="F40" s="1254"/>
      <c r="G40" s="1254"/>
      <c r="H40" s="1254"/>
    </row>
  </sheetData>
  <mergeCells count="2">
    <mergeCell ref="B2:H2"/>
    <mergeCell ref="B29:H29"/>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14"/>
  <sheetViews>
    <sheetView workbookViewId="0"/>
  </sheetViews>
  <sheetFormatPr defaultColWidth="13.7109375" defaultRowHeight="12"/>
  <cols>
    <col min="1" max="1" width="14.42578125" style="993" customWidth="1"/>
    <col min="2" max="2" width="15.28515625" style="993" customWidth="1"/>
    <col min="3" max="3" width="15.7109375" style="993" customWidth="1"/>
    <col min="4" max="4" width="15.28515625" style="993" customWidth="1"/>
    <col min="5" max="6" width="16.85546875" style="993" customWidth="1"/>
    <col min="7" max="7" width="14.42578125" style="993" customWidth="1"/>
    <col min="8" max="8" width="14.42578125" style="1224" customWidth="1"/>
    <col min="9" max="9" width="8.28515625" style="993" customWidth="1"/>
    <col min="10" max="83" width="13.7109375" style="997" customWidth="1"/>
    <col min="84" max="16384" width="13.7109375" style="993"/>
  </cols>
  <sheetData>
    <row r="1" spans="1:82" ht="15">
      <c r="A1" s="992" t="s">
        <v>1052</v>
      </c>
    </row>
    <row r="2" spans="1:82" ht="12.75">
      <c r="A2" s="1397" t="s">
        <v>1165</v>
      </c>
      <c r="B2" s="1397"/>
      <c r="C2" s="1397"/>
      <c r="D2" s="1397"/>
      <c r="E2" s="1397"/>
      <c r="F2" s="1397"/>
      <c r="G2" s="1397"/>
      <c r="H2" s="1397"/>
    </row>
    <row r="3" spans="1:82" ht="12.75" thickBot="1">
      <c r="A3" s="1007"/>
      <c r="B3" s="1007"/>
      <c r="C3" s="1007"/>
      <c r="D3" s="1007"/>
      <c r="E3" s="1007"/>
      <c r="F3" s="1007"/>
      <c r="G3" s="1007"/>
      <c r="H3" s="1013"/>
    </row>
    <row r="5" spans="1:82" s="1233" customFormat="1">
      <c r="A5" s="1016" t="s">
        <v>23</v>
      </c>
      <c r="B5" s="1016" t="s">
        <v>1053</v>
      </c>
      <c r="C5" s="1016" t="s">
        <v>1054</v>
      </c>
      <c r="D5" s="1016" t="s">
        <v>1055</v>
      </c>
      <c r="E5" s="1016" t="s">
        <v>1056</v>
      </c>
      <c r="F5" s="1016" t="s">
        <v>1057</v>
      </c>
      <c r="G5" s="1016" t="s">
        <v>1058</v>
      </c>
      <c r="H5" s="1225" t="s">
        <v>1059</v>
      </c>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c r="AM5" s="1015"/>
      <c r="AN5" s="1015"/>
      <c r="AO5" s="1015"/>
      <c r="AP5" s="1015"/>
      <c r="AQ5" s="1015"/>
      <c r="AR5" s="1015"/>
      <c r="AS5" s="1015"/>
      <c r="AT5" s="1015"/>
      <c r="AU5" s="1015"/>
      <c r="AV5" s="1015"/>
      <c r="AW5" s="1015"/>
      <c r="AX5" s="1015"/>
      <c r="AY5" s="1015"/>
      <c r="AZ5" s="1015"/>
      <c r="BA5" s="1015"/>
      <c r="BB5" s="1015"/>
      <c r="BC5" s="1015"/>
      <c r="BD5" s="1015"/>
      <c r="BE5" s="1015"/>
      <c r="BF5" s="1015"/>
      <c r="BG5" s="1015"/>
      <c r="BH5" s="1015"/>
      <c r="BI5" s="1015"/>
      <c r="BJ5" s="1015"/>
      <c r="BK5" s="1015"/>
      <c r="BL5" s="1015"/>
      <c r="BM5" s="1015"/>
      <c r="BN5" s="1015"/>
      <c r="BO5" s="1015"/>
      <c r="BP5" s="1015"/>
      <c r="BQ5" s="1015"/>
      <c r="BR5" s="1015"/>
      <c r="BS5" s="1015"/>
      <c r="BT5" s="1015"/>
      <c r="BU5" s="1015"/>
      <c r="BV5" s="1015"/>
      <c r="BW5" s="1015"/>
      <c r="BX5" s="1015"/>
      <c r="BY5" s="1015"/>
      <c r="BZ5" s="1015"/>
      <c r="CA5" s="1015"/>
      <c r="CB5" s="1015"/>
      <c r="CC5" s="1015"/>
      <c r="CD5" s="1015"/>
    </row>
    <row r="6" spans="1:82" ht="8.25" customHeight="1"/>
    <row r="7" spans="1:82" ht="12" customHeight="1">
      <c r="A7" s="993" t="s">
        <v>78</v>
      </c>
      <c r="B7" s="994">
        <v>1637882600</v>
      </c>
      <c r="C7" s="994">
        <v>1551107600</v>
      </c>
      <c r="D7" s="994">
        <v>2022125700</v>
      </c>
      <c r="E7" s="995">
        <v>3660008300</v>
      </c>
      <c r="F7" s="995">
        <v>3573233300</v>
      </c>
      <c r="G7" s="994">
        <v>21360827.5</v>
      </c>
      <c r="H7" s="1224">
        <v>2019</v>
      </c>
      <c r="I7" s="996"/>
      <c r="J7" s="998"/>
      <c r="K7" s="998"/>
      <c r="L7" s="998"/>
      <c r="M7" s="998"/>
      <c r="N7" s="998"/>
    </row>
    <row r="8" spans="1:82" ht="12" customHeight="1">
      <c r="A8" s="993" t="s">
        <v>80</v>
      </c>
      <c r="B8" s="999">
        <v>7986959200</v>
      </c>
      <c r="C8" s="999">
        <v>6457390800</v>
      </c>
      <c r="D8" s="999">
        <v>12565800900</v>
      </c>
      <c r="E8" s="1000">
        <v>20552760100</v>
      </c>
      <c r="F8" s="1000">
        <v>19023191700</v>
      </c>
      <c r="G8" s="999">
        <v>162458057.118</v>
      </c>
      <c r="H8" s="1224">
        <v>2019</v>
      </c>
      <c r="I8" s="996"/>
      <c r="J8" s="998"/>
      <c r="K8" s="998"/>
      <c r="L8" s="998"/>
      <c r="M8" s="998"/>
      <c r="N8" s="998"/>
    </row>
    <row r="9" spans="1:82" ht="12" customHeight="1">
      <c r="A9" s="993" t="s">
        <v>82</v>
      </c>
      <c r="B9" s="999">
        <v>330184200</v>
      </c>
      <c r="C9" s="999">
        <v>254185800</v>
      </c>
      <c r="D9" s="999">
        <v>791622000</v>
      </c>
      <c r="E9" s="1000">
        <v>1121806200</v>
      </c>
      <c r="F9" s="1000">
        <v>1045807800</v>
      </c>
      <c r="G9" s="999">
        <v>7634396.9399999995</v>
      </c>
      <c r="H9" s="1224">
        <v>2019</v>
      </c>
      <c r="I9" s="996"/>
      <c r="J9" s="998"/>
      <c r="K9" s="998"/>
      <c r="L9" s="998"/>
      <c r="M9" s="998"/>
      <c r="N9" s="998"/>
    </row>
    <row r="10" spans="1:82" ht="12" customHeight="1">
      <c r="A10" s="993" t="s">
        <v>84</v>
      </c>
      <c r="B10" s="999">
        <v>515564155</v>
      </c>
      <c r="C10" s="999">
        <v>441675755</v>
      </c>
      <c r="D10" s="999">
        <v>777360900</v>
      </c>
      <c r="E10" s="1000">
        <v>1292925055</v>
      </c>
      <c r="F10" s="1000">
        <v>1219036655</v>
      </c>
      <c r="G10" s="999">
        <v>5851375.9440000001</v>
      </c>
      <c r="H10" s="1224">
        <v>2019</v>
      </c>
      <c r="I10" s="996"/>
      <c r="J10" s="998"/>
      <c r="K10" s="998"/>
      <c r="L10" s="998"/>
      <c r="M10" s="998"/>
      <c r="N10" s="998"/>
    </row>
    <row r="11" spans="1:82" ht="12" customHeight="1">
      <c r="A11" s="993" t="s">
        <v>86</v>
      </c>
      <c r="B11" s="999">
        <v>1090356600</v>
      </c>
      <c r="C11" s="999">
        <v>800464900</v>
      </c>
      <c r="D11" s="999">
        <v>1561757400</v>
      </c>
      <c r="E11" s="1000">
        <v>2652114000</v>
      </c>
      <c r="F11" s="1000">
        <v>2362222300</v>
      </c>
      <c r="G11" s="999">
        <v>14409556.029999999</v>
      </c>
      <c r="H11" s="1224">
        <v>2019</v>
      </c>
      <c r="I11" s="996"/>
      <c r="J11" s="998"/>
      <c r="K11" s="998"/>
      <c r="L11" s="998"/>
      <c r="M11" s="998"/>
      <c r="N11" s="998"/>
    </row>
    <row r="12" spans="1:82" ht="9" customHeight="1">
      <c r="B12" s="999"/>
      <c r="C12" s="999"/>
      <c r="D12" s="999"/>
      <c r="E12" s="1000"/>
      <c r="F12" s="1000"/>
      <c r="G12" s="999"/>
      <c r="J12" s="998"/>
      <c r="K12" s="998"/>
      <c r="L12" s="998"/>
      <c r="M12" s="998"/>
      <c r="N12" s="998"/>
    </row>
    <row r="13" spans="1:82" ht="12" customHeight="1">
      <c r="A13" s="993" t="s">
        <v>88</v>
      </c>
      <c r="B13" s="999">
        <v>594750700</v>
      </c>
      <c r="C13" s="999">
        <v>546481132</v>
      </c>
      <c r="D13" s="999">
        <v>789806300</v>
      </c>
      <c r="E13" s="1000">
        <v>1384557000</v>
      </c>
      <c r="F13" s="1000">
        <v>1336287432</v>
      </c>
      <c r="G13" s="999">
        <v>8685868.3080000002</v>
      </c>
      <c r="H13" s="1224">
        <v>2019</v>
      </c>
      <c r="I13" s="996"/>
      <c r="J13" s="998"/>
      <c r="K13" s="998"/>
      <c r="L13" s="998"/>
      <c r="M13" s="998"/>
      <c r="N13" s="998"/>
    </row>
    <row r="14" spans="1:82" ht="12" customHeight="1">
      <c r="A14" s="993" t="s">
        <v>1189</v>
      </c>
      <c r="B14" s="999">
        <v>30299633700</v>
      </c>
      <c r="C14" s="999">
        <v>30299633700</v>
      </c>
      <c r="D14" s="999">
        <v>47290504500</v>
      </c>
      <c r="E14" s="1000">
        <v>77590138200</v>
      </c>
      <c r="F14" s="1000">
        <v>77590138200</v>
      </c>
      <c r="G14" s="1303">
        <v>785988099.96599996</v>
      </c>
      <c r="H14" s="1224">
        <v>2018</v>
      </c>
      <c r="I14" s="996"/>
      <c r="J14" s="998"/>
      <c r="K14" s="998"/>
      <c r="L14" s="998"/>
      <c r="M14" s="998"/>
      <c r="N14" s="998"/>
    </row>
    <row r="15" spans="1:82" ht="12" customHeight="1">
      <c r="A15" s="993" t="s">
        <v>92</v>
      </c>
      <c r="B15" s="999">
        <v>3685755300</v>
      </c>
      <c r="C15" s="999">
        <v>2439748330</v>
      </c>
      <c r="D15" s="999">
        <v>5077074400</v>
      </c>
      <c r="E15" s="1000">
        <v>8762829700</v>
      </c>
      <c r="F15" s="1000">
        <v>7516822730</v>
      </c>
      <c r="G15" s="999">
        <v>47355980.409999996</v>
      </c>
      <c r="H15" s="1224">
        <v>2019</v>
      </c>
      <c r="I15" s="996"/>
      <c r="J15" s="998"/>
      <c r="K15" s="998"/>
      <c r="L15" s="998"/>
      <c r="M15" s="998"/>
      <c r="N15" s="998"/>
    </row>
    <row r="16" spans="1:82" ht="12" customHeight="1">
      <c r="A16" s="993" t="s">
        <v>94</v>
      </c>
      <c r="B16" s="999">
        <v>383209800</v>
      </c>
      <c r="C16" s="999">
        <v>355770400</v>
      </c>
      <c r="D16" s="999">
        <v>500181900</v>
      </c>
      <c r="E16" s="1000">
        <v>883391700</v>
      </c>
      <c r="F16" s="1000">
        <v>855952300</v>
      </c>
      <c r="G16" s="999">
        <v>4279761.5</v>
      </c>
      <c r="H16" s="1224" t="s">
        <v>1181</v>
      </c>
      <c r="I16" s="996"/>
      <c r="J16" s="998"/>
      <c r="K16" s="998"/>
      <c r="L16" s="998"/>
      <c r="M16" s="998"/>
      <c r="N16" s="998"/>
    </row>
    <row r="17" spans="1:14" ht="12" customHeight="1">
      <c r="A17" s="993" t="s">
        <v>1060</v>
      </c>
      <c r="B17" s="999">
        <v>4174813500</v>
      </c>
      <c r="C17" s="999">
        <v>2977823600</v>
      </c>
      <c r="D17" s="999">
        <v>6078110034</v>
      </c>
      <c r="E17" s="1000">
        <v>10252923534</v>
      </c>
      <c r="F17" s="1000">
        <v>9055933634</v>
      </c>
      <c r="G17" s="999">
        <v>45279668.170000002</v>
      </c>
      <c r="H17" s="1224">
        <v>2019</v>
      </c>
      <c r="I17" s="996"/>
      <c r="J17" s="998"/>
      <c r="K17" s="998"/>
      <c r="L17" s="998"/>
      <c r="M17" s="998"/>
      <c r="N17" s="998"/>
    </row>
    <row r="18" spans="1:14" ht="9" customHeight="1">
      <c r="B18" s="1234"/>
      <c r="C18" s="1234"/>
      <c r="D18" s="1234"/>
      <c r="E18" s="1000"/>
      <c r="F18" s="1000"/>
      <c r="G18" s="1234"/>
      <c r="H18" s="1226"/>
      <c r="J18" s="998"/>
      <c r="K18" s="998"/>
      <c r="L18" s="998"/>
      <c r="M18" s="998"/>
      <c r="N18" s="998"/>
    </row>
    <row r="19" spans="1:14" ht="12" customHeight="1">
      <c r="A19" s="993" t="s">
        <v>97</v>
      </c>
      <c r="B19" s="999">
        <v>349800400</v>
      </c>
      <c r="C19" s="999">
        <v>198324600</v>
      </c>
      <c r="D19" s="999">
        <v>259747700</v>
      </c>
      <c r="E19" s="1000">
        <v>609548100</v>
      </c>
      <c r="F19" s="1000">
        <v>458072300</v>
      </c>
      <c r="G19" s="999">
        <v>2748433.8</v>
      </c>
      <c r="H19" s="1224">
        <v>2019</v>
      </c>
      <c r="I19" s="996"/>
      <c r="J19" s="998"/>
      <c r="K19" s="998"/>
      <c r="L19" s="998"/>
      <c r="M19" s="998"/>
      <c r="N19" s="998"/>
    </row>
    <row r="20" spans="1:14" ht="12" customHeight="1">
      <c r="A20" s="993" t="s">
        <v>99</v>
      </c>
      <c r="B20" s="999">
        <v>1285197053</v>
      </c>
      <c r="C20" s="999">
        <v>1284915953</v>
      </c>
      <c r="D20" s="999">
        <v>2483287650</v>
      </c>
      <c r="E20" s="1000">
        <v>3768484703</v>
      </c>
      <c r="F20" s="1000">
        <v>3768203603</v>
      </c>
      <c r="G20" s="999">
        <v>29768808.463700004</v>
      </c>
      <c r="H20" s="1224">
        <v>2019</v>
      </c>
      <c r="I20" s="996"/>
      <c r="J20" s="998"/>
      <c r="K20" s="998"/>
      <c r="L20" s="998"/>
      <c r="M20" s="998"/>
      <c r="N20" s="998"/>
    </row>
    <row r="21" spans="1:14" ht="12" customHeight="1">
      <c r="A21" s="993" t="s">
        <v>101</v>
      </c>
      <c r="B21" s="999">
        <v>698530200</v>
      </c>
      <c r="C21" s="999">
        <v>698530200</v>
      </c>
      <c r="D21" s="999">
        <v>605774360</v>
      </c>
      <c r="E21" s="1000">
        <v>1304304560</v>
      </c>
      <c r="F21" s="1000">
        <v>1304304560</v>
      </c>
      <c r="G21" s="999">
        <v>6912814.1680000005</v>
      </c>
      <c r="H21" s="1224">
        <v>2019</v>
      </c>
      <c r="I21" s="996"/>
      <c r="J21" s="998"/>
      <c r="K21" s="998"/>
      <c r="L21" s="998"/>
      <c r="M21" s="998"/>
      <c r="N21" s="998"/>
    </row>
    <row r="22" spans="1:14" ht="12" customHeight="1">
      <c r="A22" s="993" t="s">
        <v>103</v>
      </c>
      <c r="B22" s="999">
        <v>653374358</v>
      </c>
      <c r="C22" s="999">
        <v>653374358</v>
      </c>
      <c r="D22" s="999">
        <v>1588791189</v>
      </c>
      <c r="E22" s="1000">
        <v>2242165547</v>
      </c>
      <c r="F22" s="1000">
        <v>2242165547</v>
      </c>
      <c r="G22" s="999">
        <v>8744446.1799999997</v>
      </c>
      <c r="H22" s="1224">
        <v>2019</v>
      </c>
      <c r="I22" s="996"/>
      <c r="J22" s="998"/>
      <c r="K22" s="998"/>
      <c r="L22" s="998"/>
      <c r="M22" s="998"/>
      <c r="N22" s="998"/>
    </row>
    <row r="23" spans="1:14" ht="12" customHeight="1">
      <c r="A23" s="993" t="s">
        <v>105</v>
      </c>
      <c r="B23" s="999">
        <v>758915000</v>
      </c>
      <c r="C23" s="999">
        <v>758915000</v>
      </c>
      <c r="D23" s="999">
        <v>678007800</v>
      </c>
      <c r="E23" s="1000">
        <v>1436922800</v>
      </c>
      <c r="F23" s="1000">
        <v>1436922800</v>
      </c>
      <c r="G23" s="999">
        <v>7903075.4000000004</v>
      </c>
      <c r="H23" s="1224">
        <v>2019</v>
      </c>
      <c r="I23" s="996"/>
      <c r="J23" s="998"/>
      <c r="K23" s="998"/>
      <c r="L23" s="998"/>
      <c r="M23" s="998"/>
      <c r="N23" s="998"/>
    </row>
    <row r="24" spans="1:14" ht="9" customHeight="1">
      <c r="B24" s="999"/>
      <c r="C24" s="999"/>
      <c r="D24" s="999"/>
      <c r="E24" s="1000"/>
      <c r="F24" s="1000"/>
      <c r="G24" s="999"/>
      <c r="J24" s="998"/>
      <c r="K24" s="998"/>
      <c r="L24" s="998"/>
      <c r="M24" s="998"/>
      <c r="N24" s="998"/>
    </row>
    <row r="25" spans="1:14" ht="12.6" customHeight="1">
      <c r="A25" s="993" t="s">
        <v>107</v>
      </c>
      <c r="B25" s="999">
        <v>1371123957</v>
      </c>
      <c r="C25" s="999">
        <v>1100605972</v>
      </c>
      <c r="D25" s="999">
        <v>3017243500</v>
      </c>
      <c r="E25" s="1000">
        <v>4388367457</v>
      </c>
      <c r="F25" s="1000">
        <v>4117849472</v>
      </c>
      <c r="G25" s="999">
        <v>21412817.2544</v>
      </c>
      <c r="H25" s="1224">
        <v>2019</v>
      </c>
      <c r="I25" s="996"/>
      <c r="J25" s="998"/>
      <c r="K25" s="998"/>
      <c r="L25" s="998"/>
      <c r="M25" s="998"/>
      <c r="N25" s="998"/>
    </row>
    <row r="26" spans="1:14" ht="12" customHeight="1">
      <c r="A26" s="993" t="s">
        <v>109</v>
      </c>
      <c r="B26" s="999">
        <v>1167337812</v>
      </c>
      <c r="C26" s="999">
        <v>991858769</v>
      </c>
      <c r="D26" s="999">
        <v>1688570400</v>
      </c>
      <c r="E26" s="1000">
        <v>2855908212</v>
      </c>
      <c r="F26" s="1000">
        <v>2680429169</v>
      </c>
      <c r="G26" s="999">
        <v>22247562.102699999</v>
      </c>
      <c r="H26" s="1224">
        <v>2019</v>
      </c>
      <c r="I26" s="996"/>
      <c r="J26" s="998"/>
      <c r="K26" s="998"/>
      <c r="L26" s="998"/>
      <c r="M26" s="998"/>
      <c r="N26" s="998"/>
    </row>
    <row r="27" spans="1:14" ht="12" customHeight="1">
      <c r="A27" s="993" t="s">
        <v>111</v>
      </c>
      <c r="B27" s="999">
        <v>1016744300</v>
      </c>
      <c r="C27" s="999">
        <v>828465111</v>
      </c>
      <c r="D27" s="999">
        <v>1333182500</v>
      </c>
      <c r="E27" s="1000">
        <v>2349926800</v>
      </c>
      <c r="F27" s="1000">
        <v>2161647611</v>
      </c>
      <c r="G27" s="999">
        <v>15023450.896449998</v>
      </c>
      <c r="H27" s="1224">
        <v>2019</v>
      </c>
      <c r="I27" s="996"/>
      <c r="J27" s="998"/>
      <c r="K27" s="998"/>
      <c r="L27" s="998"/>
      <c r="M27" s="998"/>
      <c r="N27" s="998"/>
    </row>
    <row r="28" spans="1:14" ht="12" customHeight="1">
      <c r="A28" s="993" t="s">
        <v>113</v>
      </c>
      <c r="B28" s="999">
        <v>420441310</v>
      </c>
      <c r="C28" s="999">
        <v>420441310</v>
      </c>
      <c r="D28" s="999">
        <v>432815370</v>
      </c>
      <c r="E28" s="1000">
        <v>853256680</v>
      </c>
      <c r="F28" s="1000">
        <v>853256680</v>
      </c>
      <c r="G28" s="999">
        <v>6484750.7680000011</v>
      </c>
      <c r="H28" s="1224" t="s">
        <v>1181</v>
      </c>
      <c r="I28" s="996"/>
      <c r="J28" s="998"/>
      <c r="K28" s="998"/>
      <c r="L28" s="998"/>
      <c r="M28" s="998"/>
      <c r="N28" s="998"/>
    </row>
    <row r="29" spans="1:14" ht="12" customHeight="1">
      <c r="A29" s="993" t="s">
        <v>115</v>
      </c>
      <c r="B29" s="999">
        <v>525096421</v>
      </c>
      <c r="C29" s="999">
        <v>525096421</v>
      </c>
      <c r="D29" s="999">
        <v>484863402</v>
      </c>
      <c r="E29" s="1000">
        <v>1009959823</v>
      </c>
      <c r="F29" s="1000">
        <v>1009959823</v>
      </c>
      <c r="G29" s="999">
        <v>6261750.9026000006</v>
      </c>
      <c r="H29" s="1224" t="s">
        <v>1181</v>
      </c>
      <c r="I29" s="996"/>
      <c r="J29" s="998"/>
      <c r="K29" s="998"/>
      <c r="L29" s="998"/>
      <c r="M29" s="998"/>
      <c r="N29" s="998"/>
    </row>
    <row r="30" spans="1:14" ht="9" customHeight="1">
      <c r="B30" s="999"/>
      <c r="C30" s="999"/>
      <c r="D30" s="999"/>
      <c r="E30" s="1000"/>
      <c r="F30" s="1000"/>
      <c r="G30" s="999"/>
      <c r="J30" s="998"/>
      <c r="K30" s="998"/>
      <c r="L30" s="998"/>
      <c r="M30" s="998"/>
      <c r="N30" s="998"/>
    </row>
    <row r="31" spans="1:14" ht="12" customHeight="1">
      <c r="A31" s="993" t="s">
        <v>117</v>
      </c>
      <c r="B31" s="999">
        <v>10064289900</v>
      </c>
      <c r="C31" s="999">
        <v>9890725291</v>
      </c>
      <c r="D31" s="999">
        <v>28999590300</v>
      </c>
      <c r="E31" s="1000">
        <v>39063880200</v>
      </c>
      <c r="F31" s="1000">
        <v>38890315591</v>
      </c>
      <c r="G31" s="1303">
        <v>369457998.11449999</v>
      </c>
      <c r="H31" s="1224">
        <v>2019</v>
      </c>
      <c r="I31" s="996"/>
      <c r="J31" s="998"/>
      <c r="K31" s="998"/>
      <c r="L31" s="998"/>
      <c r="M31" s="998"/>
      <c r="N31" s="998"/>
    </row>
    <row r="32" spans="1:14" ht="12" customHeight="1">
      <c r="A32" s="993" t="s">
        <v>119</v>
      </c>
      <c r="B32" s="999">
        <v>1081906900</v>
      </c>
      <c r="C32" s="999">
        <v>758630039</v>
      </c>
      <c r="D32" s="999">
        <v>1325056500</v>
      </c>
      <c r="E32" s="1000">
        <v>2406963400</v>
      </c>
      <c r="F32" s="1000">
        <v>2083686539</v>
      </c>
      <c r="G32" s="999">
        <v>14794174.426899999</v>
      </c>
      <c r="H32" s="1224">
        <v>2019</v>
      </c>
      <c r="I32" s="996"/>
      <c r="J32" s="998"/>
      <c r="K32" s="998"/>
      <c r="L32" s="998"/>
      <c r="M32" s="998"/>
      <c r="N32" s="998"/>
    </row>
    <row r="33" spans="1:14" ht="12" customHeight="1">
      <c r="A33" s="993" t="s">
        <v>121</v>
      </c>
      <c r="B33" s="999">
        <v>229725800</v>
      </c>
      <c r="C33" s="999">
        <v>229725800</v>
      </c>
      <c r="D33" s="999">
        <v>285404400</v>
      </c>
      <c r="E33" s="1000">
        <v>515130200</v>
      </c>
      <c r="F33" s="1000">
        <v>515130200</v>
      </c>
      <c r="G33" s="999">
        <v>3039268.1799999997</v>
      </c>
      <c r="H33" s="1224">
        <v>2019</v>
      </c>
      <c r="I33" s="996"/>
      <c r="J33" s="998"/>
      <c r="K33" s="998"/>
      <c r="L33" s="998"/>
      <c r="M33" s="998"/>
      <c r="N33" s="998"/>
    </row>
    <row r="34" spans="1:14">
      <c r="A34" s="993" t="s">
        <v>123</v>
      </c>
      <c r="B34" s="999">
        <v>2334418118</v>
      </c>
      <c r="C34" s="999">
        <v>1835875218</v>
      </c>
      <c r="D34" s="999">
        <v>3785165300</v>
      </c>
      <c r="E34" s="1000">
        <v>6119583418</v>
      </c>
      <c r="F34" s="1000">
        <v>5621040518</v>
      </c>
      <c r="G34" s="999">
        <v>34850451.211599998</v>
      </c>
      <c r="H34" s="1224">
        <v>2019</v>
      </c>
      <c r="I34" s="996"/>
      <c r="J34" s="998"/>
      <c r="K34" s="998"/>
      <c r="L34" s="998"/>
      <c r="M34" s="998"/>
      <c r="N34" s="998"/>
    </row>
    <row r="35" spans="1:14" ht="12" customHeight="1">
      <c r="A35" s="993" t="s">
        <v>125</v>
      </c>
      <c r="B35" s="999">
        <v>411782935</v>
      </c>
      <c r="C35" s="999">
        <v>323566939</v>
      </c>
      <c r="D35" s="999">
        <v>451654000</v>
      </c>
      <c r="E35" s="1000">
        <v>863436935</v>
      </c>
      <c r="F35" s="1000">
        <v>775220939</v>
      </c>
      <c r="G35" s="999">
        <v>6046723.3241999997</v>
      </c>
      <c r="H35" s="1224">
        <v>2019</v>
      </c>
      <c r="I35" s="996"/>
      <c r="J35" s="998"/>
      <c r="K35" s="998"/>
      <c r="L35" s="998"/>
      <c r="M35" s="998"/>
      <c r="N35" s="998"/>
    </row>
    <row r="36" spans="1:14" ht="9" customHeight="1">
      <c r="B36" s="999"/>
      <c r="C36" s="999"/>
      <c r="D36" s="999"/>
      <c r="E36" s="1000"/>
      <c r="F36" s="1000"/>
      <c r="G36" s="999"/>
      <c r="J36" s="998"/>
      <c r="K36" s="998"/>
      <c r="L36" s="998"/>
      <c r="M36" s="998"/>
      <c r="N36" s="998"/>
    </row>
    <row r="37" spans="1:14" ht="12" customHeight="1">
      <c r="A37" s="993" t="s">
        <v>127</v>
      </c>
      <c r="B37" s="999">
        <v>393914600</v>
      </c>
      <c r="C37" s="999">
        <v>393914600</v>
      </c>
      <c r="D37" s="999">
        <v>898812600</v>
      </c>
      <c r="E37" s="1000">
        <v>1292727200</v>
      </c>
      <c r="F37" s="1000">
        <v>1292727200</v>
      </c>
      <c r="G37" s="999">
        <v>7756363.1999999993</v>
      </c>
      <c r="H37" s="1224">
        <v>2019</v>
      </c>
      <c r="I37" s="996"/>
      <c r="J37" s="998"/>
      <c r="K37" s="998"/>
      <c r="L37" s="998"/>
      <c r="M37" s="998"/>
      <c r="N37" s="998"/>
    </row>
    <row r="38" spans="1:14" ht="12" customHeight="1">
      <c r="A38" s="993" t="s">
        <v>129</v>
      </c>
      <c r="B38" s="999">
        <v>1043356913</v>
      </c>
      <c r="C38" s="999">
        <v>727713763</v>
      </c>
      <c r="D38" s="999">
        <v>1720031700</v>
      </c>
      <c r="E38" s="1000">
        <v>2763388613</v>
      </c>
      <c r="F38" s="1000">
        <v>2447745463</v>
      </c>
      <c r="G38" s="999">
        <v>19337189.157699998</v>
      </c>
      <c r="H38" s="1224">
        <v>2019</v>
      </c>
      <c r="I38" s="996"/>
      <c r="J38" s="998"/>
      <c r="K38" s="998"/>
      <c r="L38" s="998"/>
      <c r="M38" s="998"/>
      <c r="N38" s="998"/>
    </row>
    <row r="39" spans="1:14" ht="12" customHeight="1">
      <c r="A39" s="993" t="s">
        <v>131</v>
      </c>
      <c r="B39" s="999">
        <v>711880900</v>
      </c>
      <c r="C39" s="999">
        <v>621217419</v>
      </c>
      <c r="D39" s="999">
        <v>679111100</v>
      </c>
      <c r="E39" s="1000">
        <v>1390992000</v>
      </c>
      <c r="F39" s="1000">
        <v>1300328519</v>
      </c>
      <c r="G39" s="999">
        <v>11442890.9672</v>
      </c>
      <c r="H39" s="1224">
        <v>2019</v>
      </c>
      <c r="I39" s="996"/>
      <c r="J39" s="998"/>
      <c r="K39" s="998"/>
      <c r="L39" s="998"/>
      <c r="M39" s="998"/>
      <c r="N39" s="998"/>
    </row>
    <row r="40" spans="1:14" ht="11.25" customHeight="1">
      <c r="A40" s="993" t="s">
        <v>518</v>
      </c>
      <c r="B40" s="999">
        <v>89982549903</v>
      </c>
      <c r="C40" s="999">
        <v>89821836470</v>
      </c>
      <c r="D40" s="999">
        <v>165370118480</v>
      </c>
      <c r="E40" s="1000">
        <v>255352668383</v>
      </c>
      <c r="F40" s="1000">
        <v>255191954950</v>
      </c>
      <c r="G40" s="999">
        <v>2934707481.9249997</v>
      </c>
      <c r="H40" s="1304" t="s">
        <v>1203</v>
      </c>
      <c r="I40" s="996"/>
      <c r="J40" s="998"/>
      <c r="K40" s="998"/>
      <c r="L40" s="998"/>
      <c r="M40" s="998"/>
      <c r="N40" s="998"/>
    </row>
    <row r="41" spans="1:14" ht="12" customHeight="1">
      <c r="A41" s="993" t="s">
        <v>135</v>
      </c>
      <c r="B41" s="999">
        <v>6091558000</v>
      </c>
      <c r="C41" s="999">
        <v>4710596200</v>
      </c>
      <c r="D41" s="999">
        <v>7334427500</v>
      </c>
      <c r="E41" s="1000">
        <v>13425985500</v>
      </c>
      <c r="F41" s="1000">
        <v>12045023700</v>
      </c>
      <c r="G41" s="999">
        <v>119727535.57799999</v>
      </c>
      <c r="H41" s="1224">
        <v>2019</v>
      </c>
      <c r="I41" s="996"/>
      <c r="J41" s="998"/>
      <c r="K41" s="998"/>
      <c r="L41" s="998"/>
      <c r="M41" s="998"/>
      <c r="N41" s="998"/>
    </row>
    <row r="42" spans="1:14" ht="15">
      <c r="A42" s="992" t="s">
        <v>1061</v>
      </c>
      <c r="J42" s="998"/>
      <c r="K42" s="998"/>
      <c r="L42" s="998"/>
      <c r="M42" s="998"/>
      <c r="N42" s="998"/>
    </row>
    <row r="43" spans="1:14" ht="12.75">
      <c r="A43" s="1397" t="str">
        <f>A2</f>
        <v>Real Estate Fair Market Value (FMV), Fair Market Value (Taxable), and Local Levy by Locality - Tax Year 2019</v>
      </c>
      <c r="B43" s="1397"/>
      <c r="C43" s="1397"/>
      <c r="D43" s="1397"/>
      <c r="E43" s="1397"/>
      <c r="F43" s="1397"/>
      <c r="G43" s="1397"/>
      <c r="H43" s="1397"/>
      <c r="J43" s="998"/>
      <c r="K43" s="998"/>
      <c r="L43" s="998"/>
      <c r="M43" s="998"/>
      <c r="N43" s="998"/>
    </row>
    <row r="44" spans="1:14" ht="12.75" thickBot="1">
      <c r="A44" s="1007"/>
      <c r="B44" s="1007"/>
      <c r="C44" s="1007"/>
      <c r="D44" s="1007"/>
      <c r="E44" s="1007"/>
      <c r="F44" s="1007"/>
      <c r="G44" s="1007"/>
      <c r="H44" s="1007"/>
      <c r="J44" s="998"/>
      <c r="K44" s="998"/>
      <c r="L44" s="998"/>
      <c r="M44" s="998"/>
      <c r="N44" s="998"/>
    </row>
    <row r="45" spans="1:14">
      <c r="J45" s="998"/>
      <c r="K45" s="998"/>
      <c r="L45" s="998"/>
      <c r="M45" s="998"/>
      <c r="N45" s="998"/>
    </row>
    <row r="46" spans="1:14">
      <c r="A46" s="1016" t="s">
        <v>23</v>
      </c>
      <c r="B46" s="1016" t="s">
        <v>1053</v>
      </c>
      <c r="C46" s="1016" t="s">
        <v>1054</v>
      </c>
      <c r="D46" s="1016" t="s">
        <v>1055</v>
      </c>
      <c r="E46" s="1016" t="s">
        <v>1056</v>
      </c>
      <c r="F46" s="1016" t="s">
        <v>1057</v>
      </c>
      <c r="G46" s="1016" t="s">
        <v>1058</v>
      </c>
      <c r="H46" s="1225" t="s">
        <v>1059</v>
      </c>
      <c r="J46" s="998"/>
      <c r="K46" s="998"/>
      <c r="L46" s="998"/>
      <c r="M46" s="998"/>
      <c r="N46" s="998"/>
    </row>
    <row r="47" spans="1:14" ht="8.25" customHeight="1">
      <c r="B47" s="999"/>
      <c r="C47" s="999"/>
      <c r="D47" s="999"/>
      <c r="E47" s="1002"/>
      <c r="F47" s="1002"/>
      <c r="G47" s="999"/>
      <c r="J47" s="998"/>
      <c r="K47" s="998"/>
      <c r="L47" s="998"/>
      <c r="M47" s="998"/>
      <c r="N47" s="998"/>
    </row>
    <row r="48" spans="1:14" ht="12" customHeight="1">
      <c r="A48" s="993" t="s">
        <v>137</v>
      </c>
      <c r="B48" s="994">
        <v>898471000</v>
      </c>
      <c r="C48" s="994">
        <v>707822000</v>
      </c>
      <c r="D48" s="994">
        <v>892933700</v>
      </c>
      <c r="E48" s="995">
        <v>1791404700</v>
      </c>
      <c r="F48" s="995">
        <v>1600755700</v>
      </c>
      <c r="G48" s="994">
        <v>9604534.1999999993</v>
      </c>
      <c r="H48" s="1224">
        <v>2019</v>
      </c>
      <c r="I48" s="996"/>
      <c r="J48" s="998"/>
      <c r="K48" s="998"/>
      <c r="L48" s="998"/>
      <c r="M48" s="998"/>
      <c r="N48" s="998"/>
    </row>
    <row r="49" spans="1:14" ht="12" customHeight="1">
      <c r="A49" s="993" t="s">
        <v>139</v>
      </c>
      <c r="B49" s="999">
        <v>1040922402</v>
      </c>
      <c r="C49" s="999">
        <v>739667302</v>
      </c>
      <c r="D49" s="999">
        <v>1928958100</v>
      </c>
      <c r="E49" s="1000">
        <v>2969880502</v>
      </c>
      <c r="F49" s="1000">
        <v>2668625402</v>
      </c>
      <c r="G49" s="999">
        <v>24684784.968499999</v>
      </c>
      <c r="H49" s="1224">
        <v>2019</v>
      </c>
      <c r="I49" s="996"/>
      <c r="J49" s="998"/>
      <c r="K49" s="998"/>
      <c r="L49" s="998"/>
      <c r="M49" s="998"/>
      <c r="N49" s="998"/>
    </row>
    <row r="50" spans="1:14" ht="12" customHeight="1">
      <c r="A50" s="993" t="s">
        <v>26</v>
      </c>
      <c r="B50" s="999">
        <v>3061519000</v>
      </c>
      <c r="C50" s="999">
        <v>2628338016</v>
      </c>
      <c r="D50" s="999">
        <v>4091206800</v>
      </c>
      <c r="E50" s="1000">
        <v>7152725800</v>
      </c>
      <c r="F50" s="1000">
        <v>6719544816</v>
      </c>
      <c r="G50" s="999">
        <v>40989223.377599999</v>
      </c>
      <c r="H50" s="1224">
        <v>2019</v>
      </c>
      <c r="I50" s="996"/>
      <c r="J50" s="998"/>
      <c r="K50" s="998"/>
      <c r="L50" s="998"/>
      <c r="M50" s="998"/>
      <c r="N50" s="998"/>
    </row>
    <row r="51" spans="1:14" ht="12" customHeight="1">
      <c r="A51" s="993" t="s">
        <v>142</v>
      </c>
      <c r="B51" s="999">
        <v>3842066700</v>
      </c>
      <c r="C51" s="999">
        <v>3336247300</v>
      </c>
      <c r="D51" s="999">
        <v>7112106475</v>
      </c>
      <c r="E51" s="1000">
        <v>10954173175</v>
      </c>
      <c r="F51" s="1000">
        <v>10448353775</v>
      </c>
      <c r="G51" s="1303">
        <v>63734958.027499996</v>
      </c>
      <c r="H51" s="1224">
        <v>2019</v>
      </c>
      <c r="I51" s="996"/>
      <c r="J51" s="998"/>
      <c r="K51" s="998"/>
      <c r="L51" s="998"/>
      <c r="M51" s="998"/>
      <c r="N51" s="998"/>
    </row>
    <row r="52" spans="1:14" ht="12" customHeight="1">
      <c r="A52" s="993" t="s">
        <v>144</v>
      </c>
      <c r="B52" s="999">
        <v>453321700</v>
      </c>
      <c r="C52" s="999">
        <v>319226000</v>
      </c>
      <c r="D52" s="999">
        <v>755482000</v>
      </c>
      <c r="E52" s="1000">
        <v>1208803700</v>
      </c>
      <c r="F52" s="1000">
        <v>1074708000</v>
      </c>
      <c r="G52" s="999">
        <v>7200543.6000000006</v>
      </c>
      <c r="H52" s="1224">
        <v>2019</v>
      </c>
      <c r="I52" s="996"/>
      <c r="J52" s="998"/>
      <c r="K52" s="998"/>
      <c r="L52" s="998"/>
      <c r="M52" s="998"/>
      <c r="N52" s="998"/>
    </row>
    <row r="53" spans="1:14" ht="9" customHeight="1">
      <c r="B53" s="999"/>
      <c r="C53" s="999"/>
      <c r="D53" s="999"/>
      <c r="E53" s="1000"/>
      <c r="F53" s="1000"/>
      <c r="G53" s="999"/>
      <c r="J53" s="998"/>
      <c r="K53" s="998"/>
      <c r="L53" s="998"/>
      <c r="M53" s="998"/>
      <c r="N53" s="998"/>
    </row>
    <row r="54" spans="1:14" ht="12" customHeight="1">
      <c r="A54" s="993" t="s">
        <v>79</v>
      </c>
      <c r="B54" s="999">
        <v>1784288284</v>
      </c>
      <c r="C54" s="999">
        <v>1687328084</v>
      </c>
      <c r="D54" s="999">
        <v>2704479402</v>
      </c>
      <c r="E54" s="1000">
        <v>4488767686</v>
      </c>
      <c r="F54" s="1000">
        <v>4391807486</v>
      </c>
      <c r="G54" s="999">
        <v>30523062.027699996</v>
      </c>
      <c r="H54" s="1224">
        <v>2019</v>
      </c>
      <c r="I54" s="996"/>
      <c r="J54" s="998"/>
      <c r="K54" s="998"/>
      <c r="L54" s="998"/>
      <c r="M54" s="998"/>
      <c r="N54" s="998"/>
    </row>
    <row r="55" spans="1:14" ht="12" customHeight="1">
      <c r="A55" s="993" t="s">
        <v>81</v>
      </c>
      <c r="B55" s="999">
        <v>2631210300</v>
      </c>
      <c r="C55" s="999">
        <v>2045806300</v>
      </c>
      <c r="D55" s="999">
        <v>3275434400</v>
      </c>
      <c r="E55" s="1000">
        <v>5906644700</v>
      </c>
      <c r="F55" s="1000">
        <v>5321240700</v>
      </c>
      <c r="G55" s="999">
        <v>28202575.710000001</v>
      </c>
      <c r="H55" s="1224">
        <v>2019</v>
      </c>
      <c r="I55" s="996"/>
      <c r="J55" s="998"/>
      <c r="K55" s="998"/>
      <c r="L55" s="998"/>
      <c r="M55" s="998"/>
      <c r="N55" s="998"/>
    </row>
    <row r="56" spans="1:14" ht="12" customHeight="1">
      <c r="A56" s="993" t="s">
        <v>83</v>
      </c>
      <c r="B56" s="999">
        <v>1044343700</v>
      </c>
      <c r="C56" s="999">
        <v>1044343700</v>
      </c>
      <c r="D56" s="999">
        <v>623790200</v>
      </c>
      <c r="E56" s="1000">
        <v>1668133900</v>
      </c>
      <c r="F56" s="1000">
        <v>1668133900</v>
      </c>
      <c r="G56" s="999">
        <v>9341549.8400000017</v>
      </c>
      <c r="H56" s="1224">
        <v>2019</v>
      </c>
      <c r="I56" s="996"/>
      <c r="J56" s="998"/>
      <c r="K56" s="998"/>
      <c r="L56" s="998"/>
      <c r="M56" s="998"/>
      <c r="N56" s="998"/>
    </row>
    <row r="57" spans="1:14" ht="12" customHeight="1">
      <c r="A57" s="993" t="s">
        <v>85</v>
      </c>
      <c r="B57" s="999">
        <v>950103602</v>
      </c>
      <c r="C57" s="999">
        <v>670683052</v>
      </c>
      <c r="D57" s="999">
        <v>1364388047</v>
      </c>
      <c r="E57" s="1000">
        <v>2314491649</v>
      </c>
      <c r="F57" s="1000">
        <v>2035071099</v>
      </c>
      <c r="G57" s="999">
        <v>16687583.011799999</v>
      </c>
      <c r="H57" s="1224">
        <v>2019</v>
      </c>
      <c r="I57" s="996"/>
      <c r="J57" s="998"/>
      <c r="K57" s="998"/>
      <c r="L57" s="998"/>
      <c r="M57" s="998"/>
      <c r="N57" s="998"/>
    </row>
    <row r="58" spans="1:14" ht="12" customHeight="1">
      <c r="A58" s="997" t="s">
        <v>87</v>
      </c>
      <c r="B58" s="999">
        <v>313742510</v>
      </c>
      <c r="C58" s="999">
        <v>312119397</v>
      </c>
      <c r="D58" s="999">
        <v>323224400</v>
      </c>
      <c r="E58" s="1000">
        <v>636966910</v>
      </c>
      <c r="F58" s="1000">
        <v>635343797</v>
      </c>
      <c r="G58" s="999">
        <v>4256803.4398999996</v>
      </c>
      <c r="H58" s="1224">
        <v>2019</v>
      </c>
      <c r="I58" s="996"/>
      <c r="J58" s="998"/>
      <c r="K58" s="998"/>
      <c r="L58" s="998"/>
      <c r="M58" s="998"/>
      <c r="N58" s="998"/>
    </row>
    <row r="59" spans="1:14" ht="9" customHeight="1">
      <c r="J59" s="998"/>
      <c r="K59" s="998"/>
      <c r="L59" s="998"/>
      <c r="M59" s="998"/>
      <c r="N59" s="998"/>
    </row>
    <row r="60" spans="1:14" ht="12" customHeight="1">
      <c r="A60" s="993" t="s">
        <v>423</v>
      </c>
      <c r="B60" s="999">
        <v>1145755167</v>
      </c>
      <c r="C60" s="999">
        <v>1145755167</v>
      </c>
      <c r="D60" s="999">
        <v>1543988869</v>
      </c>
      <c r="E60" s="1000">
        <v>2689744036</v>
      </c>
      <c r="F60" s="1000">
        <v>2689744036</v>
      </c>
      <c r="G60" s="999">
        <v>13448784.9</v>
      </c>
      <c r="H60" s="1224">
        <v>2019</v>
      </c>
      <c r="I60" s="996"/>
      <c r="J60" s="998"/>
      <c r="K60" s="998"/>
      <c r="L60" s="998"/>
      <c r="M60" s="998"/>
      <c r="N60" s="998"/>
    </row>
    <row r="61" spans="1:14" ht="12" customHeight="1">
      <c r="A61" s="993" t="s">
        <v>91</v>
      </c>
      <c r="B61" s="999">
        <v>5237984795</v>
      </c>
      <c r="C61" s="999">
        <v>4639318602</v>
      </c>
      <c r="D61" s="999">
        <v>10603055015</v>
      </c>
      <c r="E61" s="1000">
        <v>15841039810</v>
      </c>
      <c r="F61" s="1000">
        <v>15242373617</v>
      </c>
      <c r="G61" s="999">
        <v>123463226.2977</v>
      </c>
      <c r="H61" s="1224">
        <v>2019</v>
      </c>
      <c r="I61" s="996"/>
      <c r="J61" s="998"/>
      <c r="K61" s="998"/>
      <c r="L61" s="998"/>
      <c r="M61" s="998"/>
      <c r="N61" s="998"/>
    </row>
    <row r="62" spans="1:14" ht="12" customHeight="1">
      <c r="A62" s="993" t="s">
        <v>93</v>
      </c>
      <c r="B62" s="999">
        <v>9991204300</v>
      </c>
      <c r="C62" s="999">
        <v>9804033400</v>
      </c>
      <c r="D62" s="999">
        <v>30399855100</v>
      </c>
      <c r="E62" s="1000">
        <v>40391059400</v>
      </c>
      <c r="F62" s="1000">
        <v>40203888500</v>
      </c>
      <c r="G62" s="999">
        <v>349773829.94999999</v>
      </c>
      <c r="H62" s="1224">
        <v>2019</v>
      </c>
      <c r="I62" s="996"/>
      <c r="J62" s="998"/>
      <c r="K62" s="998"/>
      <c r="L62" s="998"/>
      <c r="M62" s="998"/>
      <c r="N62" s="998"/>
    </row>
    <row r="63" spans="1:14" ht="12" customHeight="1">
      <c r="A63" s="993" t="s">
        <v>95</v>
      </c>
      <c r="B63" s="999">
        <v>796022500</v>
      </c>
      <c r="C63" s="999">
        <v>760547300</v>
      </c>
      <c r="D63" s="999">
        <v>2150619200</v>
      </c>
      <c r="E63" s="1000">
        <v>2946641700</v>
      </c>
      <c r="F63" s="1000">
        <v>2911166500</v>
      </c>
      <c r="G63" s="999">
        <v>16156974.075000001</v>
      </c>
      <c r="H63" s="1224">
        <v>2019</v>
      </c>
      <c r="I63" s="996"/>
      <c r="J63" s="998"/>
      <c r="K63" s="998"/>
      <c r="L63" s="998"/>
      <c r="M63" s="998"/>
      <c r="N63" s="998"/>
    </row>
    <row r="64" spans="1:14" ht="12" customHeight="1">
      <c r="A64" s="993" t="s">
        <v>96</v>
      </c>
      <c r="B64" s="999">
        <v>437545700</v>
      </c>
      <c r="C64" s="999">
        <v>437545700</v>
      </c>
      <c r="D64" s="999">
        <v>236608500</v>
      </c>
      <c r="E64" s="1000">
        <v>674154200</v>
      </c>
      <c r="F64" s="1000">
        <v>674154200</v>
      </c>
      <c r="G64" s="999">
        <v>3235940.1599999997</v>
      </c>
      <c r="H64" s="1224">
        <v>2019</v>
      </c>
      <c r="I64" s="996"/>
      <c r="J64" s="998"/>
      <c r="K64" s="998"/>
      <c r="L64" s="998"/>
      <c r="M64" s="998"/>
      <c r="N64" s="998"/>
    </row>
    <row r="65" spans="1:14" ht="9" customHeight="1">
      <c r="B65" s="999"/>
      <c r="C65" s="999"/>
      <c r="D65" s="999"/>
      <c r="E65" s="1000"/>
      <c r="F65" s="1000"/>
      <c r="G65" s="999"/>
      <c r="J65" s="998"/>
      <c r="K65" s="998"/>
      <c r="L65" s="998"/>
      <c r="M65" s="998"/>
      <c r="N65" s="998"/>
    </row>
    <row r="66" spans="1:14" ht="12" customHeight="1">
      <c r="A66" s="993" t="s">
        <v>98</v>
      </c>
      <c r="B66" s="999">
        <v>1728224624</v>
      </c>
      <c r="C66" s="999">
        <v>1418746124</v>
      </c>
      <c r="D66" s="999">
        <v>3278949656</v>
      </c>
      <c r="E66" s="1000">
        <v>5007174280</v>
      </c>
      <c r="F66" s="1000">
        <v>4697695780</v>
      </c>
      <c r="G66" s="999">
        <v>39930414.129999995</v>
      </c>
      <c r="H66" s="1224" t="s">
        <v>1181</v>
      </c>
      <c r="I66" s="996"/>
      <c r="J66" s="998"/>
      <c r="K66" s="998"/>
      <c r="L66" s="998"/>
      <c r="M66" s="998"/>
      <c r="N66" s="998"/>
    </row>
    <row r="67" spans="1:14" ht="12" customHeight="1">
      <c r="A67" s="993" t="s">
        <v>1188</v>
      </c>
      <c r="B67" s="999">
        <v>3312260100</v>
      </c>
      <c r="C67" s="999">
        <v>3182804467</v>
      </c>
      <c r="D67" s="999">
        <v>8906498600</v>
      </c>
      <c r="E67" s="1000">
        <v>12218758700</v>
      </c>
      <c r="F67" s="1000">
        <v>12089303067</v>
      </c>
      <c r="G67" s="999">
        <v>101550145.76279999</v>
      </c>
      <c r="H67" s="1224" t="s">
        <v>1120</v>
      </c>
      <c r="I67" s="996"/>
      <c r="J67" s="998"/>
      <c r="K67" s="998"/>
      <c r="L67" s="998"/>
      <c r="M67" s="998"/>
      <c r="N67" s="998"/>
    </row>
    <row r="68" spans="1:14" ht="12" customHeight="1">
      <c r="A68" s="993" t="s">
        <v>102</v>
      </c>
      <c r="B68" s="999">
        <v>493452000</v>
      </c>
      <c r="C68" s="999">
        <v>493452000</v>
      </c>
      <c r="D68" s="999">
        <v>408975400</v>
      </c>
      <c r="E68" s="1000">
        <v>902427400</v>
      </c>
      <c r="F68" s="1000">
        <v>902427400</v>
      </c>
      <c r="G68" s="999">
        <v>4782865.2200000007</v>
      </c>
      <c r="H68" s="1224">
        <v>2019</v>
      </c>
      <c r="I68" s="996"/>
      <c r="J68" s="998"/>
      <c r="K68" s="998"/>
      <c r="L68" s="998"/>
      <c r="M68" s="998"/>
      <c r="N68" s="998"/>
    </row>
    <row r="69" spans="1:14" ht="12" customHeight="1">
      <c r="A69" s="993" t="s">
        <v>104</v>
      </c>
      <c r="B69" s="999">
        <v>1154902849</v>
      </c>
      <c r="C69" s="999">
        <v>973342151</v>
      </c>
      <c r="D69" s="999">
        <v>1818786390</v>
      </c>
      <c r="E69" s="1000">
        <v>2973689239</v>
      </c>
      <c r="F69" s="1000">
        <v>2792128541</v>
      </c>
      <c r="G69" s="999">
        <v>19544899.787</v>
      </c>
      <c r="H69" s="1224">
        <v>2019</v>
      </c>
      <c r="I69" s="996"/>
      <c r="J69" s="998"/>
      <c r="K69" s="998"/>
      <c r="L69" s="998"/>
      <c r="M69" s="998"/>
      <c r="N69" s="998"/>
    </row>
    <row r="70" spans="1:14" ht="12" customHeight="1">
      <c r="A70" s="993" t="s">
        <v>459</v>
      </c>
      <c r="B70" s="999">
        <v>637951200</v>
      </c>
      <c r="C70" s="999">
        <v>510344800</v>
      </c>
      <c r="D70" s="999">
        <v>771291079</v>
      </c>
      <c r="E70" s="1000">
        <v>1409242279</v>
      </c>
      <c r="F70" s="1000">
        <v>1281635879</v>
      </c>
      <c r="G70" s="999">
        <v>11022068.5594</v>
      </c>
      <c r="H70" s="1224">
        <v>2019</v>
      </c>
      <c r="I70" s="996"/>
      <c r="J70" s="998"/>
      <c r="K70" s="998"/>
      <c r="L70" s="998"/>
      <c r="M70" s="998"/>
      <c r="N70" s="998"/>
    </row>
    <row r="71" spans="1:14" ht="9" customHeight="1">
      <c r="B71" s="1234"/>
      <c r="C71" s="1234"/>
      <c r="D71" s="1234"/>
      <c r="E71" s="999"/>
      <c r="F71" s="999"/>
      <c r="G71" s="1234"/>
      <c r="H71" s="1226"/>
      <c r="J71" s="998"/>
      <c r="K71" s="998"/>
      <c r="L71" s="998"/>
      <c r="M71" s="998"/>
      <c r="N71" s="998"/>
    </row>
    <row r="72" spans="1:14" ht="12" customHeight="1">
      <c r="A72" s="993" t="s">
        <v>108</v>
      </c>
      <c r="B72" s="999">
        <v>1184998600</v>
      </c>
      <c r="C72" s="999">
        <v>1168427300</v>
      </c>
      <c r="D72" s="999">
        <v>1487217700</v>
      </c>
      <c r="E72" s="1000">
        <v>2672216300</v>
      </c>
      <c r="F72" s="1000">
        <v>2655645000</v>
      </c>
      <c r="G72" s="999">
        <v>16730563.5</v>
      </c>
      <c r="H72" s="1224">
        <v>2019</v>
      </c>
      <c r="I72" s="996"/>
      <c r="J72" s="998"/>
      <c r="K72" s="998"/>
      <c r="L72" s="998"/>
      <c r="M72" s="998"/>
      <c r="N72" s="998"/>
    </row>
    <row r="73" spans="1:14" ht="12" customHeight="1">
      <c r="A73" s="993" t="s">
        <v>110</v>
      </c>
      <c r="B73" s="999">
        <v>325049900</v>
      </c>
      <c r="C73" s="999">
        <v>325049900</v>
      </c>
      <c r="D73" s="999">
        <v>640086082</v>
      </c>
      <c r="E73" s="1000">
        <v>965135982</v>
      </c>
      <c r="F73" s="1000">
        <v>965135982</v>
      </c>
      <c r="G73" s="999">
        <v>5971296.320634</v>
      </c>
      <c r="H73" s="1224">
        <v>2019</v>
      </c>
      <c r="I73" s="996"/>
      <c r="J73" s="998"/>
      <c r="K73" s="998"/>
      <c r="L73" s="998"/>
      <c r="M73" s="998"/>
      <c r="N73" s="998"/>
    </row>
    <row r="74" spans="1:14" ht="12" customHeight="1">
      <c r="A74" s="993" t="s">
        <v>112</v>
      </c>
      <c r="B74" s="999">
        <v>28429297380</v>
      </c>
      <c r="C74" s="999">
        <v>26650663690</v>
      </c>
      <c r="D74" s="999">
        <v>57479984540</v>
      </c>
      <c r="E74" s="1000">
        <v>85909281920</v>
      </c>
      <c r="F74" s="1000">
        <v>84130648230</v>
      </c>
      <c r="G74" s="999">
        <v>879165274.00349987</v>
      </c>
      <c r="H74" s="1224">
        <v>2019</v>
      </c>
      <c r="I74" s="996"/>
      <c r="J74" s="998"/>
      <c r="K74" s="998"/>
      <c r="L74" s="998"/>
      <c r="M74" s="998"/>
      <c r="N74" s="998"/>
    </row>
    <row r="75" spans="1:14" ht="12" customHeight="1">
      <c r="A75" s="993" t="s">
        <v>114</v>
      </c>
      <c r="B75" s="999">
        <v>2258394400</v>
      </c>
      <c r="C75" s="999">
        <v>1727143900</v>
      </c>
      <c r="D75" s="999">
        <v>3322061100</v>
      </c>
      <c r="E75" s="1000">
        <v>5580455500</v>
      </c>
      <c r="F75" s="1000">
        <v>5049205000</v>
      </c>
      <c r="G75" s="999">
        <v>36354276</v>
      </c>
      <c r="H75" s="1224">
        <v>2019</v>
      </c>
      <c r="I75" s="996"/>
      <c r="J75" s="998"/>
      <c r="K75" s="998"/>
      <c r="L75" s="998"/>
      <c r="M75" s="998"/>
      <c r="N75" s="998"/>
    </row>
    <row r="76" spans="1:14" ht="12" customHeight="1">
      <c r="A76" s="993" t="s">
        <v>116</v>
      </c>
      <c r="B76" s="999">
        <v>470154700</v>
      </c>
      <c r="C76" s="999">
        <v>470154700</v>
      </c>
      <c r="D76" s="999">
        <v>456347700</v>
      </c>
      <c r="E76" s="1000">
        <v>926502400</v>
      </c>
      <c r="F76" s="1000">
        <v>926502400</v>
      </c>
      <c r="G76" s="999">
        <v>3520709.12</v>
      </c>
      <c r="H76" s="1224">
        <v>2019</v>
      </c>
      <c r="I76" s="996"/>
      <c r="J76" s="998"/>
      <c r="K76" s="998"/>
      <c r="L76" s="998"/>
      <c r="M76" s="998"/>
      <c r="N76" s="998"/>
    </row>
    <row r="77" spans="1:14" ht="9" customHeight="1">
      <c r="B77" s="999"/>
      <c r="C77" s="999"/>
      <c r="D77" s="999"/>
      <c r="E77" s="1000"/>
      <c r="F77" s="1000"/>
      <c r="G77" s="999"/>
      <c r="J77" s="998"/>
      <c r="K77" s="998"/>
      <c r="L77" s="998"/>
      <c r="M77" s="998"/>
      <c r="N77" s="998"/>
    </row>
    <row r="78" spans="1:14" ht="12" customHeight="1">
      <c r="A78" s="993" t="s">
        <v>118</v>
      </c>
      <c r="B78" s="999">
        <v>1193714400</v>
      </c>
      <c r="C78" s="999">
        <v>678128700</v>
      </c>
      <c r="D78" s="999">
        <v>1072192500</v>
      </c>
      <c r="E78" s="1000">
        <v>2265906900</v>
      </c>
      <c r="F78" s="1000">
        <v>1750321200</v>
      </c>
      <c r="G78" s="999">
        <v>12252248.399999999</v>
      </c>
      <c r="H78" s="1224">
        <v>2019</v>
      </c>
      <c r="I78" s="996"/>
      <c r="J78" s="998"/>
      <c r="K78" s="998"/>
      <c r="L78" s="998"/>
      <c r="M78" s="998"/>
      <c r="N78" s="998"/>
    </row>
    <row r="79" spans="1:14" ht="12" customHeight="1">
      <c r="A79" s="993" t="s">
        <v>120</v>
      </c>
      <c r="B79" s="999">
        <v>718001300</v>
      </c>
      <c r="C79" s="999">
        <v>718001300</v>
      </c>
      <c r="D79" s="999">
        <v>911385200</v>
      </c>
      <c r="E79" s="1000">
        <v>1629386500</v>
      </c>
      <c r="F79" s="1000">
        <v>1629386500</v>
      </c>
      <c r="G79" s="999">
        <v>10509542.925000001</v>
      </c>
      <c r="H79" s="1224">
        <v>2019</v>
      </c>
      <c r="I79" s="996"/>
      <c r="J79" s="998"/>
      <c r="K79" s="998"/>
      <c r="L79" s="998"/>
      <c r="M79" s="998"/>
      <c r="N79" s="998"/>
    </row>
    <row r="80" spans="1:14" ht="12" customHeight="1">
      <c r="A80" s="993" t="s">
        <v>122</v>
      </c>
      <c r="B80" s="999">
        <v>1555222600</v>
      </c>
      <c r="C80" s="999">
        <v>1555222600</v>
      </c>
      <c r="D80" s="999">
        <v>2978212000</v>
      </c>
      <c r="E80" s="1000">
        <v>4533434600</v>
      </c>
      <c r="F80" s="1000">
        <v>4533434600</v>
      </c>
      <c r="G80" s="999">
        <v>19040425.32</v>
      </c>
      <c r="H80" s="1224" t="s">
        <v>1181</v>
      </c>
      <c r="I80" s="996"/>
      <c r="J80" s="998"/>
      <c r="K80" s="998"/>
      <c r="L80" s="998"/>
      <c r="M80" s="998"/>
      <c r="N80" s="998"/>
    </row>
    <row r="81" spans="1:14" ht="12" customHeight="1">
      <c r="A81" s="993" t="s">
        <v>124</v>
      </c>
      <c r="B81" s="999">
        <v>1124997700</v>
      </c>
      <c r="C81" s="999">
        <v>1048431900</v>
      </c>
      <c r="D81" s="999">
        <v>1148923100</v>
      </c>
      <c r="E81" s="1000">
        <v>2273920800</v>
      </c>
      <c r="F81" s="1000">
        <v>2197355000</v>
      </c>
      <c r="G81" s="999">
        <v>13623601</v>
      </c>
      <c r="H81" s="1224">
        <v>2019</v>
      </c>
      <c r="I81" s="996"/>
      <c r="J81" s="998"/>
      <c r="K81" s="998"/>
      <c r="L81" s="998"/>
      <c r="M81" s="998"/>
      <c r="N81" s="998"/>
    </row>
    <row r="82" spans="1:14" ht="12" customHeight="1">
      <c r="A82" s="993" t="s">
        <v>126</v>
      </c>
      <c r="B82" s="999">
        <v>2288786000</v>
      </c>
      <c r="C82" s="999">
        <v>2094075100</v>
      </c>
      <c r="D82" s="999">
        <v>6369346300</v>
      </c>
      <c r="E82" s="1000">
        <v>8658132300</v>
      </c>
      <c r="F82" s="1000">
        <v>8463421400</v>
      </c>
      <c r="G82" s="999">
        <v>75324450.460000008</v>
      </c>
      <c r="H82" s="1224">
        <v>2019</v>
      </c>
      <c r="I82" s="996"/>
      <c r="J82" s="998"/>
      <c r="K82" s="998"/>
      <c r="L82" s="998"/>
      <c r="M82" s="998"/>
      <c r="N82" s="998"/>
    </row>
    <row r="83" spans="1:14" ht="15">
      <c r="A83" s="992" t="s">
        <v>1061</v>
      </c>
      <c r="J83" s="998"/>
      <c r="K83" s="998"/>
      <c r="L83" s="998"/>
      <c r="M83" s="998"/>
      <c r="N83" s="998"/>
    </row>
    <row r="84" spans="1:14" ht="12.75">
      <c r="A84" s="1397" t="str">
        <f>A43</f>
        <v>Real Estate Fair Market Value (FMV), Fair Market Value (Taxable), and Local Levy by Locality - Tax Year 2019</v>
      </c>
      <c r="B84" s="1397"/>
      <c r="C84" s="1397"/>
      <c r="D84" s="1397"/>
      <c r="E84" s="1397"/>
      <c r="F84" s="1397"/>
      <c r="G84" s="1397"/>
      <c r="H84" s="1397"/>
      <c r="J84" s="998"/>
      <c r="K84" s="998"/>
      <c r="L84" s="998"/>
      <c r="M84" s="998"/>
      <c r="N84" s="998"/>
    </row>
    <row r="85" spans="1:14" ht="11.25" customHeight="1" thickBot="1">
      <c r="A85" s="1007"/>
      <c r="B85" s="1007"/>
      <c r="C85" s="1007"/>
      <c r="D85" s="1007"/>
      <c r="E85" s="1007"/>
      <c r="F85" s="1007"/>
      <c r="G85" s="1007"/>
      <c r="H85" s="1007"/>
      <c r="J85" s="998"/>
      <c r="K85" s="998"/>
      <c r="L85" s="998"/>
      <c r="M85" s="998"/>
      <c r="N85" s="998"/>
    </row>
    <row r="86" spans="1:14" ht="11.25" customHeight="1">
      <c r="J86" s="998"/>
      <c r="K86" s="998"/>
      <c r="L86" s="998"/>
      <c r="M86" s="998"/>
      <c r="N86" s="998"/>
    </row>
    <row r="87" spans="1:14" ht="11.25" customHeight="1">
      <c r="A87" s="1016" t="s">
        <v>23</v>
      </c>
      <c r="B87" s="1016" t="s">
        <v>1053</v>
      </c>
      <c r="C87" s="1016" t="s">
        <v>1054</v>
      </c>
      <c r="D87" s="1016" t="s">
        <v>1055</v>
      </c>
      <c r="E87" s="1016" t="s">
        <v>1056</v>
      </c>
      <c r="F87" s="1016" t="s">
        <v>1057</v>
      </c>
      <c r="G87" s="1016" t="s">
        <v>1058</v>
      </c>
      <c r="H87" s="1225" t="s">
        <v>1059</v>
      </c>
      <c r="J87" s="998"/>
      <c r="K87" s="998"/>
      <c r="L87" s="998"/>
      <c r="M87" s="998"/>
      <c r="N87" s="998"/>
    </row>
    <row r="88" spans="1:14" ht="8.25" customHeight="1">
      <c r="B88" s="1019"/>
      <c r="C88" s="1019"/>
      <c r="D88" s="1019"/>
      <c r="E88" s="999"/>
      <c r="F88" s="999"/>
      <c r="G88" s="1019"/>
      <c r="H88" s="1227"/>
      <c r="J88" s="998"/>
      <c r="K88" s="998"/>
      <c r="L88" s="998"/>
      <c r="M88" s="998"/>
      <c r="N88" s="998"/>
    </row>
    <row r="89" spans="1:14" ht="12" customHeight="1">
      <c r="A89" s="993" t="s">
        <v>128</v>
      </c>
      <c r="B89" s="994">
        <v>1287136800</v>
      </c>
      <c r="C89" s="994">
        <v>773154483</v>
      </c>
      <c r="D89" s="994">
        <v>1698606450</v>
      </c>
      <c r="E89" s="1004">
        <v>2985743250</v>
      </c>
      <c r="F89" s="1004">
        <v>2471760933</v>
      </c>
      <c r="G89" s="994">
        <v>17796678.717599999</v>
      </c>
      <c r="H89" s="1224">
        <v>2019</v>
      </c>
      <c r="I89" s="996"/>
      <c r="J89" s="998"/>
      <c r="K89" s="998"/>
      <c r="L89" s="998"/>
      <c r="M89" s="998"/>
      <c r="N89" s="998"/>
    </row>
    <row r="90" spans="1:14" ht="12" customHeight="1">
      <c r="A90" s="993" t="s">
        <v>130</v>
      </c>
      <c r="B90" s="999">
        <v>1106566102</v>
      </c>
      <c r="C90" s="999">
        <v>1016622139</v>
      </c>
      <c r="D90" s="999">
        <v>1993552601</v>
      </c>
      <c r="E90" s="1002">
        <v>3100118703</v>
      </c>
      <c r="F90" s="1002">
        <v>3010174740</v>
      </c>
      <c r="G90" s="999">
        <v>24683432.867999997</v>
      </c>
      <c r="H90" s="1224">
        <v>2019</v>
      </c>
      <c r="I90" s="996"/>
      <c r="J90" s="998"/>
      <c r="K90" s="998"/>
      <c r="L90" s="998"/>
      <c r="M90" s="998"/>
      <c r="N90" s="998"/>
    </row>
    <row r="91" spans="1:14" ht="12" customHeight="1">
      <c r="A91" s="993" t="s">
        <v>132</v>
      </c>
      <c r="B91" s="999">
        <v>976355000</v>
      </c>
      <c r="C91" s="999">
        <v>863987100</v>
      </c>
      <c r="D91" s="999">
        <v>1022746400</v>
      </c>
      <c r="E91" s="1002">
        <v>1999101400</v>
      </c>
      <c r="F91" s="1002">
        <v>1886733500</v>
      </c>
      <c r="G91" s="999">
        <v>15659888.049999999</v>
      </c>
      <c r="H91" s="1224">
        <v>2019</v>
      </c>
      <c r="I91" s="996"/>
      <c r="J91" s="998"/>
      <c r="K91" s="998"/>
      <c r="L91" s="998"/>
      <c r="M91" s="998"/>
      <c r="N91" s="998"/>
    </row>
    <row r="92" spans="1:14" ht="12" customHeight="1">
      <c r="A92" s="993" t="s">
        <v>134</v>
      </c>
      <c r="B92" s="999">
        <v>1397325600</v>
      </c>
      <c r="C92" s="999">
        <v>1234156053</v>
      </c>
      <c r="D92" s="999">
        <v>1650283600</v>
      </c>
      <c r="E92" s="1002">
        <v>3047609200</v>
      </c>
      <c r="F92" s="1002">
        <v>2884439653</v>
      </c>
      <c r="G92" s="999">
        <v>17018193.9527</v>
      </c>
      <c r="H92" s="1224">
        <v>2019</v>
      </c>
      <c r="I92" s="996"/>
      <c r="J92" s="998"/>
      <c r="K92" s="998"/>
      <c r="L92" s="998"/>
      <c r="M92" s="998"/>
      <c r="N92" s="998"/>
    </row>
    <row r="93" spans="1:14" s="997" customFormat="1" ht="12" customHeight="1">
      <c r="A93" s="993" t="s">
        <v>136</v>
      </c>
      <c r="B93" s="999">
        <v>368518400</v>
      </c>
      <c r="C93" s="999">
        <v>337183800</v>
      </c>
      <c r="D93" s="999">
        <v>608595791</v>
      </c>
      <c r="E93" s="1002">
        <v>977114191</v>
      </c>
      <c r="F93" s="1002">
        <v>945779591</v>
      </c>
      <c r="G93" s="999">
        <v>4539742.0367999999</v>
      </c>
      <c r="H93" s="1224">
        <v>2019</v>
      </c>
      <c r="I93" s="996"/>
      <c r="J93" s="998"/>
      <c r="K93" s="998"/>
      <c r="L93" s="998"/>
      <c r="M93" s="998"/>
      <c r="N93" s="998"/>
    </row>
    <row r="94" spans="1:14" ht="9" customHeight="1">
      <c r="B94" s="999"/>
      <c r="C94" s="999"/>
      <c r="D94" s="999"/>
      <c r="E94" s="1002"/>
      <c r="F94" s="1002"/>
      <c r="G94" s="999"/>
      <c r="J94" s="998"/>
      <c r="K94" s="998"/>
      <c r="L94" s="998"/>
      <c r="M94" s="998"/>
      <c r="N94" s="998"/>
    </row>
    <row r="95" spans="1:14" ht="12" customHeight="1">
      <c r="A95" s="993" t="s">
        <v>138</v>
      </c>
      <c r="B95" s="999">
        <v>1601980900</v>
      </c>
      <c r="C95" s="999">
        <v>1275292500</v>
      </c>
      <c r="D95" s="999">
        <v>2571555300</v>
      </c>
      <c r="E95" s="1002">
        <v>4173536200</v>
      </c>
      <c r="F95" s="1002">
        <v>3846847800</v>
      </c>
      <c r="G95" s="999">
        <v>30928656.312000003</v>
      </c>
      <c r="H95" s="1224">
        <v>2019</v>
      </c>
      <c r="I95" s="996"/>
      <c r="J95" s="998"/>
      <c r="K95" s="998"/>
      <c r="L95" s="998"/>
      <c r="M95" s="998"/>
      <c r="N95" s="998"/>
    </row>
    <row r="96" spans="1:14" ht="12" customHeight="1">
      <c r="A96" s="993" t="s">
        <v>140</v>
      </c>
      <c r="B96" s="999">
        <v>1087203400</v>
      </c>
      <c r="C96" s="999">
        <v>610583400</v>
      </c>
      <c r="D96" s="999">
        <v>1433786700</v>
      </c>
      <c r="E96" s="1002">
        <v>2520990100</v>
      </c>
      <c r="F96" s="1002">
        <v>2044370100</v>
      </c>
      <c r="G96" s="999">
        <v>14923901.73</v>
      </c>
      <c r="H96" s="1224">
        <v>2019</v>
      </c>
      <c r="I96" s="996"/>
      <c r="J96" s="998"/>
      <c r="K96" s="998"/>
      <c r="L96" s="998"/>
      <c r="M96" s="998"/>
      <c r="N96" s="998"/>
    </row>
    <row r="97" spans="1:14" ht="12" customHeight="1">
      <c r="A97" s="993" t="s">
        <v>141</v>
      </c>
      <c r="B97" s="999">
        <v>743282500</v>
      </c>
      <c r="C97" s="999">
        <v>743282500</v>
      </c>
      <c r="D97" s="999">
        <v>839230000</v>
      </c>
      <c r="E97" s="1002">
        <v>1582512500</v>
      </c>
      <c r="F97" s="1002">
        <v>1582512500</v>
      </c>
      <c r="G97" s="999">
        <v>10761085</v>
      </c>
      <c r="H97" s="1224">
        <v>2019</v>
      </c>
      <c r="I97" s="996"/>
      <c r="J97" s="998"/>
      <c r="K97" s="998"/>
      <c r="L97" s="998"/>
      <c r="M97" s="998"/>
      <c r="N97" s="998"/>
    </row>
    <row r="98" spans="1:14" ht="12" customHeight="1">
      <c r="A98" s="993" t="s">
        <v>143</v>
      </c>
      <c r="B98" s="999">
        <v>1923152500</v>
      </c>
      <c r="C98" s="999">
        <v>1354045200</v>
      </c>
      <c r="D98" s="999">
        <v>2906102900</v>
      </c>
      <c r="E98" s="1002">
        <v>4829255400</v>
      </c>
      <c r="F98" s="1002">
        <v>4260148100</v>
      </c>
      <c r="G98" s="999">
        <v>26412918.219999999</v>
      </c>
      <c r="H98" s="1224">
        <v>2019</v>
      </c>
      <c r="I98" s="996"/>
      <c r="J98" s="998"/>
      <c r="K98" s="998"/>
      <c r="L98" s="998"/>
      <c r="M98" s="998"/>
      <c r="N98" s="998"/>
    </row>
    <row r="99" spans="1:14" ht="12" customHeight="1">
      <c r="A99" s="993" t="s">
        <v>145</v>
      </c>
      <c r="B99" s="999">
        <v>1643945400</v>
      </c>
      <c r="C99" s="999">
        <v>1309437025</v>
      </c>
      <c r="D99" s="999">
        <v>2211038000</v>
      </c>
      <c r="E99" s="1002">
        <v>3854983400</v>
      </c>
      <c r="F99" s="1002">
        <v>3520475025</v>
      </c>
      <c r="G99" s="999">
        <v>30980180.219999999</v>
      </c>
      <c r="H99" s="1224" t="s">
        <v>1181</v>
      </c>
      <c r="I99" s="996"/>
      <c r="J99" s="998"/>
      <c r="K99" s="998"/>
      <c r="L99" s="998"/>
      <c r="M99" s="998"/>
      <c r="N99" s="998"/>
    </row>
    <row r="100" spans="1:14" ht="12" customHeight="1">
      <c r="B100" s="1019"/>
      <c r="C100" s="1019"/>
      <c r="D100" s="1019"/>
      <c r="E100" s="999"/>
      <c r="F100" s="999"/>
      <c r="G100" s="1019"/>
      <c r="H100" s="1227"/>
      <c r="J100" s="998"/>
      <c r="K100" s="998"/>
      <c r="L100" s="998"/>
      <c r="M100" s="998"/>
      <c r="N100" s="998"/>
    </row>
    <row r="101" spans="1:14" ht="12" customHeight="1">
      <c r="A101" s="993" t="s">
        <v>146</v>
      </c>
      <c r="B101" s="999">
        <v>553919000</v>
      </c>
      <c r="C101" s="999">
        <v>539535700</v>
      </c>
      <c r="D101" s="999">
        <v>1005418150</v>
      </c>
      <c r="E101" s="1002">
        <v>1559337150</v>
      </c>
      <c r="F101" s="1002">
        <v>1544953850</v>
      </c>
      <c r="G101" s="999">
        <v>7879264.6349999998</v>
      </c>
      <c r="H101" s="1224">
        <v>2019</v>
      </c>
      <c r="I101" s="996"/>
      <c r="J101" s="998"/>
      <c r="K101" s="998"/>
      <c r="L101" s="998"/>
      <c r="M101" s="998"/>
      <c r="N101" s="998"/>
    </row>
    <row r="102" spans="1:14" ht="12" customHeight="1">
      <c r="A102" s="993" t="s">
        <v>148</v>
      </c>
      <c r="B102" s="999">
        <v>928906500</v>
      </c>
      <c r="C102" s="999">
        <v>793432900</v>
      </c>
      <c r="D102" s="999">
        <v>2073035106</v>
      </c>
      <c r="E102" s="1002">
        <v>3001941606</v>
      </c>
      <c r="F102" s="1002">
        <v>2866468006</v>
      </c>
      <c r="G102" s="999">
        <v>24651624.851599999</v>
      </c>
      <c r="H102" s="1224" t="s">
        <v>1181</v>
      </c>
      <c r="I102" s="996"/>
      <c r="J102" s="998"/>
      <c r="K102" s="998"/>
      <c r="L102" s="998"/>
      <c r="M102" s="998"/>
      <c r="N102" s="998"/>
    </row>
    <row r="103" spans="1:14" ht="12.75" customHeight="1">
      <c r="A103" s="993" t="s">
        <v>150</v>
      </c>
      <c r="B103" s="999">
        <v>20478669700</v>
      </c>
      <c r="C103" s="999">
        <v>20103261800</v>
      </c>
      <c r="D103" s="999">
        <v>41948949700</v>
      </c>
      <c r="E103" s="1002">
        <v>62427619400</v>
      </c>
      <c r="F103" s="1002">
        <v>62052211500</v>
      </c>
      <c r="G103" s="999">
        <v>698087379.375</v>
      </c>
      <c r="H103" s="1224">
        <v>2019</v>
      </c>
      <c r="I103" s="996"/>
      <c r="J103" s="998"/>
      <c r="K103" s="998"/>
      <c r="L103" s="998"/>
      <c r="M103" s="998"/>
      <c r="N103" s="998"/>
    </row>
    <row r="104" spans="1:14" ht="12" customHeight="1">
      <c r="A104" s="993" t="s">
        <v>152</v>
      </c>
      <c r="B104" s="999">
        <v>902039900</v>
      </c>
      <c r="C104" s="999">
        <v>749473500</v>
      </c>
      <c r="D104" s="999">
        <v>1843807255</v>
      </c>
      <c r="E104" s="1002">
        <v>2745847155</v>
      </c>
      <c r="F104" s="1002">
        <v>2593280755</v>
      </c>
      <c r="G104" s="999">
        <v>19968261.813500002</v>
      </c>
      <c r="H104" s="1224">
        <v>2019</v>
      </c>
      <c r="I104" s="996"/>
      <c r="J104" s="998"/>
      <c r="K104" s="998"/>
      <c r="L104" s="998"/>
      <c r="M104" s="998"/>
      <c r="N104" s="998"/>
    </row>
    <row r="105" spans="1:14" ht="12" customHeight="1">
      <c r="A105" s="993" t="s">
        <v>154</v>
      </c>
      <c r="B105" s="999">
        <v>1208203500</v>
      </c>
      <c r="C105" s="999">
        <v>630708400</v>
      </c>
      <c r="D105" s="999">
        <v>960745800</v>
      </c>
      <c r="E105" s="1002">
        <v>2168949300</v>
      </c>
      <c r="F105" s="1002">
        <v>1591454200</v>
      </c>
      <c r="G105" s="999">
        <v>10662743.140000001</v>
      </c>
      <c r="H105" s="1224">
        <v>2019</v>
      </c>
      <c r="I105" s="996"/>
      <c r="J105" s="998"/>
      <c r="K105" s="998"/>
      <c r="L105" s="998"/>
      <c r="M105" s="998"/>
      <c r="N105" s="998"/>
    </row>
    <row r="106" spans="1:14" ht="9" customHeight="1">
      <c r="B106" s="999"/>
      <c r="C106" s="999"/>
      <c r="D106" s="999"/>
      <c r="E106" s="1002"/>
      <c r="F106" s="1002"/>
      <c r="G106" s="999"/>
      <c r="J106" s="998"/>
      <c r="K106" s="998"/>
      <c r="L106" s="998"/>
      <c r="M106" s="998"/>
      <c r="N106" s="998"/>
    </row>
    <row r="107" spans="1:14" ht="12" customHeight="1">
      <c r="A107" s="993" t="s">
        <v>156</v>
      </c>
      <c r="B107" s="999">
        <v>421242684</v>
      </c>
      <c r="C107" s="999">
        <v>347745825</v>
      </c>
      <c r="D107" s="999">
        <v>460067310</v>
      </c>
      <c r="E107" s="1002">
        <v>881309994</v>
      </c>
      <c r="F107" s="1002">
        <v>807813135</v>
      </c>
      <c r="G107" s="999">
        <v>5654691.9449999994</v>
      </c>
      <c r="H107" s="1224">
        <v>2019</v>
      </c>
      <c r="I107" s="996"/>
      <c r="J107" s="998"/>
      <c r="K107" s="998"/>
      <c r="L107" s="998"/>
      <c r="M107" s="998"/>
      <c r="N107" s="998"/>
    </row>
    <row r="108" spans="1:14" ht="12" customHeight="1">
      <c r="A108" s="993" t="s">
        <v>27</v>
      </c>
      <c r="B108" s="999">
        <v>2177489300</v>
      </c>
      <c r="C108" s="999">
        <v>2012778000</v>
      </c>
      <c r="D108" s="999">
        <v>6706237700</v>
      </c>
      <c r="E108" s="1002">
        <v>8883727000</v>
      </c>
      <c r="F108" s="1002">
        <v>8719015700</v>
      </c>
      <c r="G108" s="999">
        <v>95037271.13000001</v>
      </c>
      <c r="H108" s="1224">
        <v>2019</v>
      </c>
      <c r="I108" s="996"/>
      <c r="J108" s="998"/>
      <c r="K108" s="998"/>
      <c r="L108" s="998"/>
      <c r="M108" s="998"/>
      <c r="N108" s="998"/>
    </row>
    <row r="109" spans="1:14" ht="12" customHeight="1">
      <c r="A109" s="993" t="s">
        <v>158</v>
      </c>
      <c r="B109" s="999">
        <v>1355003140</v>
      </c>
      <c r="C109" s="999">
        <v>612742300</v>
      </c>
      <c r="D109" s="999">
        <v>1738713000</v>
      </c>
      <c r="E109" s="1002">
        <v>3093716140</v>
      </c>
      <c r="F109" s="1002">
        <v>2351455300</v>
      </c>
      <c r="G109" s="999">
        <v>17165623.690000001</v>
      </c>
      <c r="H109" s="1224">
        <v>2019</v>
      </c>
      <c r="I109" s="996"/>
      <c r="J109" s="998"/>
      <c r="K109" s="998"/>
      <c r="L109" s="998"/>
      <c r="M109" s="998"/>
      <c r="N109" s="998"/>
    </row>
    <row r="110" spans="1:14" ht="12" customHeight="1">
      <c r="A110" s="993" t="s">
        <v>159</v>
      </c>
      <c r="B110" s="999">
        <v>3286885600</v>
      </c>
      <c r="C110" s="999">
        <v>2257668770</v>
      </c>
      <c r="D110" s="999">
        <v>5836690800</v>
      </c>
      <c r="E110" s="1002">
        <v>9123576400</v>
      </c>
      <c r="F110" s="1002">
        <v>8094359570</v>
      </c>
      <c r="G110" s="999">
        <v>59898260.818000004</v>
      </c>
      <c r="H110" s="1224">
        <v>2019</v>
      </c>
      <c r="I110" s="996"/>
      <c r="J110" s="998"/>
      <c r="K110" s="998"/>
      <c r="L110" s="998"/>
      <c r="M110" s="998"/>
      <c r="N110" s="998"/>
    </row>
    <row r="111" spans="1:14" ht="12" customHeight="1">
      <c r="A111" s="997" t="s">
        <v>161</v>
      </c>
      <c r="B111" s="1024">
        <v>594296364</v>
      </c>
      <c r="C111" s="1024">
        <v>430232680</v>
      </c>
      <c r="D111" s="1024">
        <v>1014697319</v>
      </c>
      <c r="E111" s="1001">
        <v>1608993683</v>
      </c>
      <c r="F111" s="1001">
        <v>1444929999</v>
      </c>
      <c r="G111" s="1024">
        <v>9103058.9936999995</v>
      </c>
      <c r="H111" s="1224">
        <v>2019</v>
      </c>
      <c r="I111" s="996"/>
      <c r="J111" s="998"/>
      <c r="K111" s="998"/>
      <c r="L111" s="998"/>
      <c r="M111" s="998"/>
      <c r="N111" s="998"/>
    </row>
    <row r="112" spans="1:14" ht="9" customHeight="1">
      <c r="J112" s="998"/>
      <c r="K112" s="998"/>
      <c r="L112" s="998"/>
      <c r="M112" s="998"/>
      <c r="N112" s="998"/>
    </row>
    <row r="113" spans="1:14" ht="12" customHeight="1">
      <c r="A113" s="993" t="s">
        <v>163</v>
      </c>
      <c r="B113" s="999">
        <v>447138300</v>
      </c>
      <c r="C113" s="999">
        <v>447138300</v>
      </c>
      <c r="D113" s="999">
        <v>786771800</v>
      </c>
      <c r="E113" s="1002">
        <v>1233910100</v>
      </c>
      <c r="F113" s="1002">
        <v>1233910100</v>
      </c>
      <c r="G113" s="999">
        <v>9871280.8000000007</v>
      </c>
      <c r="H113" s="1224">
        <v>2019</v>
      </c>
      <c r="I113" s="996"/>
      <c r="J113" s="998"/>
      <c r="K113" s="998"/>
      <c r="L113" s="998"/>
      <c r="M113" s="998"/>
      <c r="N113" s="998"/>
    </row>
    <row r="114" spans="1:14" ht="12" customHeight="1">
      <c r="A114" s="993" t="s">
        <v>165</v>
      </c>
      <c r="B114" s="999">
        <v>2149612446</v>
      </c>
      <c r="C114" s="999">
        <v>1559030146</v>
      </c>
      <c r="D114" s="999">
        <v>2868745734</v>
      </c>
      <c r="E114" s="1002">
        <v>5018358180</v>
      </c>
      <c r="F114" s="1002">
        <v>4427775880</v>
      </c>
      <c r="G114" s="999">
        <v>28337765.631999999</v>
      </c>
      <c r="H114" s="1224">
        <v>2019</v>
      </c>
      <c r="I114" s="996"/>
      <c r="J114" s="998"/>
      <c r="K114" s="998"/>
      <c r="L114" s="998"/>
      <c r="M114" s="998"/>
      <c r="N114" s="998"/>
    </row>
    <row r="115" spans="1:14" ht="12" customHeight="1">
      <c r="A115" s="993" t="s">
        <v>167</v>
      </c>
      <c r="B115" s="999">
        <v>579419700</v>
      </c>
      <c r="C115" s="999">
        <v>401067460</v>
      </c>
      <c r="D115" s="999">
        <v>1020803500</v>
      </c>
      <c r="E115" s="1002">
        <v>1600223200</v>
      </c>
      <c r="F115" s="1002">
        <v>1421870960</v>
      </c>
      <c r="G115" s="999">
        <v>10521845.104</v>
      </c>
      <c r="H115" s="1224">
        <v>2019</v>
      </c>
      <c r="I115" s="996"/>
      <c r="J115" s="998"/>
      <c r="K115" s="998"/>
      <c r="L115" s="998"/>
      <c r="M115" s="998"/>
      <c r="N115" s="998"/>
    </row>
    <row r="116" spans="1:14" ht="12" customHeight="1">
      <c r="A116" s="993" t="s">
        <v>169</v>
      </c>
      <c r="B116" s="999">
        <v>907706800</v>
      </c>
      <c r="C116" s="999">
        <v>523063200</v>
      </c>
      <c r="D116" s="999">
        <v>914596400</v>
      </c>
      <c r="E116" s="1002">
        <v>1822303200</v>
      </c>
      <c r="F116" s="1002">
        <v>1437659600</v>
      </c>
      <c r="G116" s="999">
        <v>12867053.42</v>
      </c>
      <c r="H116" s="1224">
        <v>2019</v>
      </c>
      <c r="I116" s="996"/>
      <c r="J116" s="998"/>
      <c r="K116" s="998"/>
      <c r="L116" s="998"/>
      <c r="M116" s="998"/>
      <c r="N116" s="998"/>
    </row>
    <row r="117" spans="1:14" ht="12" customHeight="1">
      <c r="A117" s="993" t="s">
        <v>171</v>
      </c>
      <c r="B117" s="999">
        <v>5575739100</v>
      </c>
      <c r="C117" s="999">
        <v>5217543368</v>
      </c>
      <c r="D117" s="999">
        <v>10076852300</v>
      </c>
      <c r="E117" s="1002">
        <v>15652591400</v>
      </c>
      <c r="F117" s="1002">
        <v>15294395668</v>
      </c>
      <c r="G117" s="999">
        <v>129604708.89063202</v>
      </c>
      <c r="H117" s="1224">
        <v>2019</v>
      </c>
      <c r="I117" s="996"/>
      <c r="J117" s="998"/>
      <c r="K117" s="998"/>
      <c r="L117" s="998"/>
      <c r="M117" s="998"/>
      <c r="N117" s="998"/>
    </row>
    <row r="118" spans="1:14" ht="9" customHeight="1">
      <c r="B118" s="999"/>
      <c r="C118" s="999"/>
      <c r="D118" s="999"/>
      <c r="E118" s="1002"/>
      <c r="F118" s="1002"/>
      <c r="G118" s="999"/>
      <c r="J118" s="998"/>
      <c r="K118" s="998"/>
      <c r="L118" s="998"/>
      <c r="M118" s="998"/>
      <c r="N118" s="998"/>
    </row>
    <row r="119" spans="1:14" ht="12" customHeight="1">
      <c r="A119" s="993" t="s">
        <v>173</v>
      </c>
      <c r="B119" s="999">
        <v>6094971398</v>
      </c>
      <c r="C119" s="999">
        <v>5789578257</v>
      </c>
      <c r="D119" s="999">
        <v>11763599803</v>
      </c>
      <c r="E119" s="1002">
        <v>17858571201</v>
      </c>
      <c r="F119" s="1002">
        <v>17553178060</v>
      </c>
      <c r="G119" s="999">
        <v>177287098.40599999</v>
      </c>
      <c r="H119" s="1224">
        <v>2019</v>
      </c>
      <c r="I119" s="996"/>
      <c r="J119" s="998"/>
      <c r="K119" s="998"/>
      <c r="L119" s="998"/>
      <c r="M119" s="998"/>
      <c r="N119" s="998"/>
    </row>
    <row r="120" spans="1:14" ht="12" customHeight="1">
      <c r="A120" s="993" t="s">
        <v>175</v>
      </c>
      <c r="B120" s="999">
        <v>472512400</v>
      </c>
      <c r="C120" s="999">
        <v>472512400</v>
      </c>
      <c r="D120" s="999">
        <v>477442200</v>
      </c>
      <c r="E120" s="1002">
        <v>949954600</v>
      </c>
      <c r="F120" s="1002">
        <v>949954600</v>
      </c>
      <c r="G120" s="999">
        <v>6744677.6599999992</v>
      </c>
      <c r="H120" s="1224">
        <v>2019</v>
      </c>
      <c r="I120" s="996"/>
      <c r="J120" s="998"/>
      <c r="K120" s="998"/>
      <c r="L120" s="998"/>
      <c r="M120" s="998"/>
      <c r="N120" s="998"/>
    </row>
    <row r="121" spans="1:14" ht="12" customHeight="1">
      <c r="A121" s="993" t="s">
        <v>177</v>
      </c>
      <c r="B121" s="999">
        <v>505362300</v>
      </c>
      <c r="C121" s="999">
        <v>505362300</v>
      </c>
      <c r="D121" s="999">
        <v>393440522</v>
      </c>
      <c r="E121" s="1002">
        <v>898802822</v>
      </c>
      <c r="F121" s="1002">
        <v>898802822</v>
      </c>
      <c r="G121" s="999">
        <v>5213056.3676000005</v>
      </c>
      <c r="H121" s="1224">
        <v>2019</v>
      </c>
      <c r="I121" s="996"/>
      <c r="J121" s="998"/>
      <c r="K121" s="998"/>
      <c r="L121" s="998"/>
      <c r="M121" s="998"/>
      <c r="N121" s="998"/>
    </row>
    <row r="122" spans="1:14" ht="12" customHeight="1">
      <c r="A122" s="993" t="s">
        <v>179</v>
      </c>
      <c r="B122" s="999">
        <v>742356200</v>
      </c>
      <c r="C122" s="999">
        <v>616159400</v>
      </c>
      <c r="D122" s="999">
        <v>1991980375</v>
      </c>
      <c r="E122" s="1002">
        <v>2734336575</v>
      </c>
      <c r="F122" s="1002">
        <v>2608139775</v>
      </c>
      <c r="G122" s="999">
        <v>15127210.694999998</v>
      </c>
      <c r="H122" s="1224">
        <v>2019</v>
      </c>
      <c r="I122" s="996"/>
      <c r="J122" s="998"/>
      <c r="K122" s="998"/>
      <c r="L122" s="998"/>
      <c r="M122" s="998"/>
      <c r="N122" s="998"/>
    </row>
    <row r="123" spans="1:14" ht="12" customHeight="1">
      <c r="A123" s="993" t="s">
        <v>181</v>
      </c>
      <c r="B123" s="999">
        <v>1705910100</v>
      </c>
      <c r="C123" s="999">
        <v>1380263000</v>
      </c>
      <c r="D123" s="999">
        <v>3273999700</v>
      </c>
      <c r="E123" s="1002">
        <v>4979909800</v>
      </c>
      <c r="F123" s="1002">
        <v>4654262700</v>
      </c>
      <c r="G123" s="999">
        <v>30485420.685000002</v>
      </c>
      <c r="H123" s="1224">
        <v>2019</v>
      </c>
      <c r="I123" s="996"/>
      <c r="J123" s="998"/>
      <c r="K123" s="998"/>
      <c r="L123" s="998"/>
      <c r="M123" s="998"/>
      <c r="N123" s="998"/>
    </row>
    <row r="124" spans="1:14" ht="15">
      <c r="A124" s="992" t="s">
        <v>1061</v>
      </c>
      <c r="J124" s="998"/>
      <c r="K124" s="998"/>
      <c r="L124" s="998"/>
      <c r="M124" s="998"/>
      <c r="N124" s="998"/>
    </row>
    <row r="125" spans="1:14" ht="12.75">
      <c r="A125" s="1397" t="str">
        <f>A84</f>
        <v>Real Estate Fair Market Value (FMV), Fair Market Value (Taxable), and Local Levy by Locality - Tax Year 2019</v>
      </c>
      <c r="B125" s="1397"/>
      <c r="C125" s="1397"/>
      <c r="D125" s="1397"/>
      <c r="E125" s="1397"/>
      <c r="F125" s="1397"/>
      <c r="G125" s="1397"/>
      <c r="H125" s="1397"/>
      <c r="J125" s="998"/>
      <c r="K125" s="998"/>
      <c r="L125" s="998"/>
      <c r="M125" s="998"/>
      <c r="N125" s="998"/>
    </row>
    <row r="126" spans="1:14" ht="11.25" customHeight="1" thickBot="1">
      <c r="A126" s="1007"/>
      <c r="B126" s="1007"/>
      <c r="C126" s="1007"/>
      <c r="D126" s="1007"/>
      <c r="E126" s="1007"/>
      <c r="F126" s="1007"/>
      <c r="G126" s="1007"/>
      <c r="H126" s="1007"/>
      <c r="J126" s="998"/>
      <c r="K126" s="998"/>
      <c r="L126" s="998"/>
      <c r="M126" s="998"/>
      <c r="N126" s="998"/>
    </row>
    <row r="127" spans="1:14" ht="11.25" customHeight="1">
      <c r="J127" s="998"/>
      <c r="K127" s="998"/>
      <c r="L127" s="998"/>
      <c r="M127" s="998"/>
      <c r="N127" s="998"/>
    </row>
    <row r="128" spans="1:14" ht="11.25" customHeight="1">
      <c r="A128" s="1016" t="s">
        <v>23</v>
      </c>
      <c r="B128" s="1016" t="s">
        <v>1053</v>
      </c>
      <c r="C128" s="1016" t="s">
        <v>1054</v>
      </c>
      <c r="D128" s="1016" t="s">
        <v>1055</v>
      </c>
      <c r="E128" s="1016" t="s">
        <v>1056</v>
      </c>
      <c r="F128" s="1016" t="s">
        <v>1057</v>
      </c>
      <c r="G128" s="1016" t="s">
        <v>1058</v>
      </c>
      <c r="H128" s="1225" t="s">
        <v>1059</v>
      </c>
      <c r="J128" s="998"/>
      <c r="K128" s="998"/>
      <c r="L128" s="998"/>
      <c r="M128" s="998"/>
      <c r="N128" s="998"/>
    </row>
    <row r="129" spans="1:83" ht="8.25" customHeight="1">
      <c r="B129" s="999"/>
      <c r="C129" s="999"/>
      <c r="D129" s="999"/>
      <c r="E129" s="1002"/>
      <c r="F129" s="1002"/>
      <c r="G129" s="999"/>
      <c r="J129" s="998"/>
      <c r="K129" s="998"/>
      <c r="L129" s="998"/>
      <c r="M129" s="998"/>
      <c r="N129" s="998"/>
    </row>
    <row r="130" spans="1:83">
      <c r="A130" s="993" t="s">
        <v>183</v>
      </c>
      <c r="B130" s="994">
        <v>1954705001</v>
      </c>
      <c r="C130" s="994">
        <v>1241990901</v>
      </c>
      <c r="D130" s="994">
        <v>2881222500</v>
      </c>
      <c r="E130" s="1004">
        <v>4835927501</v>
      </c>
      <c r="F130" s="1004">
        <v>4123213401</v>
      </c>
      <c r="G130" s="994">
        <v>25976244.4263</v>
      </c>
      <c r="H130" s="1224">
        <v>2019</v>
      </c>
      <c r="I130" s="996"/>
      <c r="J130" s="998"/>
      <c r="K130" s="998"/>
      <c r="L130" s="998"/>
      <c r="M130" s="998"/>
      <c r="N130" s="998"/>
    </row>
    <row r="131" spans="1:83">
      <c r="A131" s="993" t="s">
        <v>185</v>
      </c>
      <c r="B131" s="999">
        <v>1197242500</v>
      </c>
      <c r="C131" s="999">
        <v>1062096260</v>
      </c>
      <c r="D131" s="999">
        <v>1449842900</v>
      </c>
      <c r="E131" s="1002">
        <v>2647085400</v>
      </c>
      <c r="F131" s="1002">
        <v>2511939160</v>
      </c>
      <c r="G131" s="999">
        <v>16327604.540000001</v>
      </c>
      <c r="H131" s="1224">
        <v>2019</v>
      </c>
      <c r="I131" s="996"/>
      <c r="J131" s="998"/>
      <c r="K131" s="998"/>
      <c r="L131" s="998"/>
      <c r="M131" s="998"/>
      <c r="N131" s="998"/>
    </row>
    <row r="132" spans="1:83">
      <c r="A132" s="993" t="s">
        <v>187</v>
      </c>
      <c r="B132" s="999">
        <v>489021521</v>
      </c>
      <c r="C132" s="999">
        <v>485541215</v>
      </c>
      <c r="D132" s="999">
        <v>1405317400</v>
      </c>
      <c r="E132" s="1002">
        <v>1894338921</v>
      </c>
      <c r="F132" s="1002">
        <v>1890858615</v>
      </c>
      <c r="G132" s="999">
        <v>13046924.443499997</v>
      </c>
      <c r="H132" s="1224">
        <v>2019</v>
      </c>
      <c r="I132" s="996"/>
      <c r="J132" s="998"/>
      <c r="K132" s="998"/>
      <c r="L132" s="998"/>
      <c r="M132" s="998"/>
      <c r="N132" s="998"/>
    </row>
    <row r="133" spans="1:83">
      <c r="A133" s="993" t="s">
        <v>189</v>
      </c>
      <c r="B133" s="999">
        <v>1057886000</v>
      </c>
      <c r="C133" s="999">
        <v>800000397</v>
      </c>
      <c r="D133" s="999">
        <v>1541665500</v>
      </c>
      <c r="E133" s="1002">
        <v>2599551500</v>
      </c>
      <c r="F133" s="1002">
        <v>2341665897</v>
      </c>
      <c r="G133" s="999">
        <v>12644995.843800001</v>
      </c>
      <c r="H133" s="1224">
        <v>2019</v>
      </c>
      <c r="I133" s="996"/>
      <c r="J133" s="998"/>
      <c r="K133" s="998"/>
      <c r="L133" s="998"/>
      <c r="M133" s="998"/>
      <c r="N133" s="998"/>
    </row>
    <row r="134" spans="1:83">
      <c r="A134" s="993" t="s">
        <v>191</v>
      </c>
      <c r="B134" s="999">
        <v>3542816969</v>
      </c>
      <c r="C134" s="999">
        <v>3533434369</v>
      </c>
      <c r="D134" s="999">
        <v>5714002600</v>
      </c>
      <c r="E134" s="1002">
        <v>9256819569</v>
      </c>
      <c r="F134" s="1002">
        <v>9247436969</v>
      </c>
      <c r="G134" s="999">
        <v>73517123.903549999</v>
      </c>
      <c r="H134" s="1224">
        <v>2019</v>
      </c>
      <c r="I134" s="996"/>
      <c r="J134" s="998"/>
      <c r="K134" s="998"/>
      <c r="L134" s="998"/>
      <c r="M134" s="998"/>
      <c r="N134" s="998"/>
    </row>
    <row r="135" spans="1:83">
      <c r="C135" s="1235"/>
      <c r="D135" s="1235"/>
      <c r="J135" s="998"/>
      <c r="K135" s="998"/>
      <c r="L135" s="998"/>
      <c r="M135" s="998"/>
      <c r="N135" s="998"/>
    </row>
    <row r="136" spans="1:83" s="1005" customFormat="1" ht="12.75" customHeight="1">
      <c r="A136" s="1236" t="s">
        <v>24</v>
      </c>
      <c r="B136" s="1027">
        <f t="shared" ref="B136:G136" si="0">SUM(B7:B134)</f>
        <v>323259486973</v>
      </c>
      <c r="C136" s="1027">
        <f t="shared" si="0"/>
        <v>298221486450</v>
      </c>
      <c r="D136" s="1027">
        <f t="shared" si="0"/>
        <v>587016530456</v>
      </c>
      <c r="E136" s="1027">
        <f t="shared" si="0"/>
        <v>910276017429</v>
      </c>
      <c r="F136" s="1027">
        <f t="shared" si="0"/>
        <v>885238016906</v>
      </c>
      <c r="G136" s="1027">
        <f t="shared" si="0"/>
        <v>8451984600.3172655</v>
      </c>
      <c r="H136" s="1228"/>
      <c r="J136" s="998"/>
      <c r="K136" s="998"/>
      <c r="L136" s="998"/>
      <c r="M136" s="998"/>
      <c r="N136" s="998"/>
      <c r="O136" s="1237"/>
      <c r="P136" s="1237"/>
      <c r="Q136" s="1237"/>
      <c r="R136" s="1237"/>
      <c r="S136" s="1237"/>
      <c r="T136" s="1237"/>
      <c r="U136" s="1237"/>
      <c r="V136" s="1237"/>
      <c r="W136" s="1237"/>
      <c r="X136" s="1237"/>
      <c r="Y136" s="1237"/>
      <c r="Z136" s="1237"/>
      <c r="AA136" s="1237"/>
      <c r="AB136" s="1237"/>
      <c r="AC136" s="1237"/>
      <c r="AD136" s="1237"/>
      <c r="AE136" s="1237"/>
      <c r="AF136" s="1237"/>
      <c r="AG136" s="1237"/>
      <c r="AH136" s="1237"/>
      <c r="AI136" s="1237"/>
      <c r="AJ136" s="1237"/>
      <c r="AK136" s="1237"/>
      <c r="AL136" s="1237"/>
      <c r="AM136" s="1237"/>
      <c r="AN136" s="1237"/>
      <c r="AO136" s="1237"/>
      <c r="AP136" s="1237"/>
      <c r="AQ136" s="1237"/>
      <c r="AR136" s="1237"/>
      <c r="AS136" s="1237"/>
      <c r="AT136" s="1237"/>
      <c r="AU136" s="1237"/>
      <c r="AV136" s="1237"/>
      <c r="AW136" s="1237"/>
      <c r="AX136" s="1237"/>
      <c r="AY136" s="1237"/>
      <c r="AZ136" s="1237"/>
      <c r="BA136" s="1237"/>
      <c r="BB136" s="1237"/>
      <c r="BC136" s="1237"/>
      <c r="BD136" s="1237"/>
      <c r="BE136" s="1237"/>
      <c r="BF136" s="1237"/>
      <c r="BG136" s="1237"/>
      <c r="BH136" s="1237"/>
      <c r="BI136" s="1237"/>
      <c r="BJ136" s="1237"/>
      <c r="BK136" s="1237"/>
      <c r="BL136" s="1237"/>
      <c r="BM136" s="1237"/>
      <c r="BN136" s="1237"/>
      <c r="BO136" s="1237"/>
      <c r="BP136" s="1237"/>
      <c r="BQ136" s="1237"/>
      <c r="BR136" s="1237"/>
      <c r="BS136" s="1237"/>
      <c r="BT136" s="1237"/>
      <c r="BU136" s="1237"/>
      <c r="BV136" s="1237"/>
      <c r="BW136" s="1237"/>
      <c r="BX136" s="1237"/>
      <c r="BY136" s="1237"/>
      <c r="BZ136" s="1237"/>
      <c r="CA136" s="1237"/>
      <c r="CB136" s="1237"/>
      <c r="CC136" s="1237"/>
      <c r="CD136" s="1237"/>
      <c r="CE136" s="1237"/>
    </row>
    <row r="137" spans="1:83">
      <c r="J137" s="998"/>
      <c r="K137" s="998"/>
      <c r="L137" s="998"/>
      <c r="M137" s="998"/>
      <c r="N137" s="998"/>
    </row>
    <row r="138" spans="1:83" ht="12.75" thickBot="1">
      <c r="B138" s="994"/>
      <c r="C138" s="994"/>
      <c r="D138" s="994"/>
      <c r="E138" s="994"/>
      <c r="F138" s="994"/>
      <c r="G138" s="994"/>
      <c r="J138" s="998"/>
      <c r="K138" s="998"/>
      <c r="L138" s="998"/>
      <c r="M138" s="998"/>
      <c r="N138" s="998"/>
    </row>
    <row r="139" spans="1:83">
      <c r="A139" s="1238"/>
      <c r="B139" s="1238"/>
      <c r="C139" s="1238"/>
      <c r="D139" s="1238"/>
      <c r="E139" s="1238"/>
      <c r="F139" s="1238"/>
      <c r="G139" s="1238"/>
      <c r="H139" s="1229"/>
      <c r="J139" s="998"/>
      <c r="K139" s="998"/>
      <c r="L139" s="998"/>
      <c r="M139" s="998"/>
      <c r="N139" s="998"/>
    </row>
    <row r="140" spans="1:83" s="1006" customFormat="1">
      <c r="A140" s="1016" t="s">
        <v>25</v>
      </c>
      <c r="B140" s="1016" t="s">
        <v>1053</v>
      </c>
      <c r="C140" s="1016" t="s">
        <v>1054</v>
      </c>
      <c r="D140" s="1016" t="s">
        <v>1055</v>
      </c>
      <c r="E140" s="1016" t="s">
        <v>1056</v>
      </c>
      <c r="F140" s="1016" t="s">
        <v>1057</v>
      </c>
      <c r="G140" s="1016" t="s">
        <v>1058</v>
      </c>
      <c r="H140" s="1225" t="s">
        <v>1059</v>
      </c>
      <c r="J140" s="998"/>
      <c r="K140" s="998"/>
      <c r="L140" s="998"/>
      <c r="M140" s="998"/>
      <c r="N140" s="998"/>
      <c r="O140" s="1003"/>
      <c r="P140" s="1003"/>
      <c r="Q140" s="1003"/>
      <c r="R140" s="1003"/>
      <c r="S140" s="1003"/>
      <c r="T140" s="1003"/>
      <c r="U140" s="1003"/>
      <c r="V140" s="1003"/>
      <c r="W140" s="1003"/>
      <c r="X140" s="1003"/>
      <c r="Y140" s="1003"/>
      <c r="Z140" s="1003"/>
      <c r="AA140" s="1003"/>
      <c r="AB140" s="1003"/>
      <c r="AC140" s="1003"/>
      <c r="AD140" s="1003"/>
      <c r="AE140" s="1003"/>
      <c r="AF140" s="1003"/>
      <c r="AG140" s="1003"/>
      <c r="AH140" s="1003"/>
      <c r="AI140" s="1003"/>
      <c r="AJ140" s="1003"/>
      <c r="AK140" s="1003"/>
      <c r="AL140" s="1003"/>
      <c r="AM140" s="1003"/>
      <c r="AN140" s="1003"/>
      <c r="AO140" s="1003"/>
      <c r="AP140" s="1003"/>
      <c r="AQ140" s="1003"/>
      <c r="AR140" s="1003"/>
      <c r="AS140" s="1003"/>
      <c r="AT140" s="1003"/>
      <c r="AU140" s="1003"/>
      <c r="AV140" s="1003"/>
      <c r="AW140" s="1003"/>
      <c r="AX140" s="1003"/>
      <c r="AY140" s="1003"/>
      <c r="AZ140" s="1003"/>
      <c r="BA140" s="1003"/>
      <c r="BB140" s="1003"/>
      <c r="BC140" s="1003"/>
      <c r="BD140" s="1003"/>
      <c r="BE140" s="1003"/>
      <c r="BF140" s="1003"/>
      <c r="BG140" s="1003"/>
      <c r="BH140" s="1003"/>
      <c r="BI140" s="1003"/>
      <c r="BJ140" s="1003"/>
      <c r="BK140" s="1003"/>
      <c r="BL140" s="1003"/>
      <c r="BM140" s="1003"/>
      <c r="BN140" s="1003"/>
      <c r="BO140" s="1003"/>
      <c r="BP140" s="1003"/>
      <c r="BQ140" s="1003"/>
      <c r="BR140" s="1003"/>
      <c r="BS140" s="1003"/>
      <c r="BT140" s="1003"/>
      <c r="BU140" s="1003"/>
      <c r="BV140" s="1003"/>
      <c r="BW140" s="1003"/>
      <c r="BX140" s="1003"/>
      <c r="BY140" s="1003"/>
      <c r="BZ140" s="1003"/>
      <c r="CA140" s="1003"/>
      <c r="CB140" s="1003"/>
      <c r="CC140" s="1003"/>
      <c r="CD140" s="1003"/>
      <c r="CE140" s="1003"/>
    </row>
    <row r="141" spans="1:83" s="1006" customFormat="1" ht="8.25" customHeight="1">
      <c r="A141" s="1015"/>
      <c r="B141" s="1015"/>
      <c r="C141" s="1015"/>
      <c r="D141" s="1015"/>
      <c r="E141" s="1015"/>
      <c r="F141" s="1015"/>
      <c r="G141" s="1015"/>
      <c r="H141" s="1230"/>
      <c r="J141" s="998"/>
      <c r="K141" s="998"/>
      <c r="L141" s="998"/>
      <c r="M141" s="998"/>
      <c r="N141" s="998"/>
      <c r="O141" s="1003"/>
      <c r="P141" s="1003"/>
      <c r="Q141" s="1003"/>
      <c r="R141" s="1003"/>
      <c r="S141" s="1003"/>
      <c r="T141" s="1003"/>
      <c r="U141" s="1003"/>
      <c r="V141" s="1003"/>
      <c r="W141" s="1003"/>
      <c r="X141" s="1003"/>
      <c r="Y141" s="1003"/>
      <c r="Z141" s="1003"/>
      <c r="AA141" s="1003"/>
      <c r="AB141" s="1003"/>
      <c r="AC141" s="1003"/>
      <c r="AD141" s="1003"/>
      <c r="AE141" s="1003"/>
      <c r="AF141" s="1003"/>
      <c r="AG141" s="1003"/>
      <c r="AH141" s="1003"/>
      <c r="AI141" s="1003"/>
      <c r="AJ141" s="1003"/>
      <c r="AK141" s="1003"/>
      <c r="AL141" s="1003"/>
      <c r="AM141" s="1003"/>
      <c r="AN141" s="1003"/>
      <c r="AO141" s="1003"/>
      <c r="AP141" s="1003"/>
      <c r="AQ141" s="1003"/>
      <c r="AR141" s="1003"/>
      <c r="AS141" s="1003"/>
      <c r="AT141" s="1003"/>
      <c r="AU141" s="1003"/>
      <c r="AV141" s="1003"/>
      <c r="AW141" s="1003"/>
      <c r="AX141" s="1003"/>
      <c r="AY141" s="1003"/>
      <c r="AZ141" s="1003"/>
      <c r="BA141" s="1003"/>
      <c r="BB141" s="1003"/>
      <c r="BC141" s="1003"/>
      <c r="BD141" s="1003"/>
      <c r="BE141" s="1003"/>
      <c r="BF141" s="1003"/>
      <c r="BG141" s="1003"/>
      <c r="BH141" s="1003"/>
      <c r="BI141" s="1003"/>
      <c r="BJ141" s="1003"/>
      <c r="BK141" s="1003"/>
      <c r="BL141" s="1003"/>
      <c r="BM141" s="1003"/>
      <c r="BN141" s="1003"/>
      <c r="BO141" s="1003"/>
      <c r="BP141" s="1003"/>
      <c r="BQ141" s="1003"/>
      <c r="BR141" s="1003"/>
      <c r="BS141" s="1003"/>
      <c r="BT141" s="1003"/>
      <c r="BU141" s="1003"/>
      <c r="BV141" s="1003"/>
      <c r="BW141" s="1003"/>
      <c r="BX141" s="1003"/>
      <c r="BY141" s="1003"/>
      <c r="BZ141" s="1003"/>
      <c r="CA141" s="1003"/>
      <c r="CB141" s="1003"/>
      <c r="CC141" s="1003"/>
      <c r="CD141" s="1003"/>
      <c r="CE141" s="1003"/>
    </row>
    <row r="142" spans="1:83" ht="12" customHeight="1">
      <c r="A142" s="993" t="s">
        <v>1187</v>
      </c>
      <c r="B142" s="1305">
        <v>16295587326</v>
      </c>
      <c r="C142" s="1305">
        <v>16295587326</v>
      </c>
      <c r="D142" s="1305">
        <v>23205540995</v>
      </c>
      <c r="E142" s="1306">
        <v>39501128321</v>
      </c>
      <c r="F142" s="1306">
        <v>39501128321</v>
      </c>
      <c r="G142" s="1305">
        <v>446362750.02729994</v>
      </c>
      <c r="H142" s="1307">
        <v>2019</v>
      </c>
      <c r="I142" s="996"/>
      <c r="J142" s="998"/>
      <c r="K142" s="998"/>
      <c r="L142" s="998"/>
      <c r="M142" s="998"/>
      <c r="N142" s="998"/>
    </row>
    <row r="143" spans="1:83" ht="11.25" customHeight="1">
      <c r="A143" s="993" t="s">
        <v>198</v>
      </c>
      <c r="B143" s="999">
        <v>301570870</v>
      </c>
      <c r="C143" s="999">
        <v>301570870</v>
      </c>
      <c r="D143" s="999">
        <v>885276800</v>
      </c>
      <c r="E143" s="1002">
        <v>1186847670</v>
      </c>
      <c r="F143" s="1002">
        <v>1186847670</v>
      </c>
      <c r="G143" s="1303">
        <v>13886117.738999998</v>
      </c>
      <c r="H143" s="1224">
        <v>2019</v>
      </c>
      <c r="I143" s="996"/>
      <c r="J143" s="998"/>
      <c r="K143" s="998"/>
      <c r="L143" s="998"/>
      <c r="M143" s="998"/>
      <c r="N143" s="998"/>
    </row>
    <row r="144" spans="1:83" ht="12" customHeight="1">
      <c r="A144" s="993" t="s">
        <v>200</v>
      </c>
      <c r="B144" s="999">
        <v>71021960</v>
      </c>
      <c r="C144" s="999">
        <v>70845060</v>
      </c>
      <c r="D144" s="999">
        <v>257593490</v>
      </c>
      <c r="E144" s="1002">
        <v>328615450</v>
      </c>
      <c r="F144" s="1002">
        <v>328438550</v>
      </c>
      <c r="G144" s="999">
        <v>3974106.4550000001</v>
      </c>
      <c r="H144" s="1224" t="s">
        <v>1181</v>
      </c>
      <c r="I144" s="996"/>
      <c r="J144" s="998"/>
      <c r="K144" s="998"/>
      <c r="L144" s="998"/>
      <c r="M144" s="998"/>
      <c r="N144" s="998"/>
    </row>
    <row r="145" spans="1:14" ht="12" customHeight="1">
      <c r="A145" s="993" t="s">
        <v>202</v>
      </c>
      <c r="B145" s="999">
        <v>2303510100</v>
      </c>
      <c r="C145" s="999">
        <v>2303510100</v>
      </c>
      <c r="D145" s="999">
        <v>5344382900</v>
      </c>
      <c r="E145" s="1002">
        <v>7647893000</v>
      </c>
      <c r="F145" s="1002">
        <v>7647893000</v>
      </c>
      <c r="G145" s="999">
        <v>72654983.5</v>
      </c>
      <c r="H145" s="1224">
        <v>2019</v>
      </c>
      <c r="I145" s="996"/>
      <c r="J145" s="998"/>
      <c r="K145" s="998"/>
      <c r="L145" s="998"/>
      <c r="M145" s="998"/>
      <c r="N145" s="998"/>
    </row>
    <row r="146" spans="1:14" ht="12" customHeight="1">
      <c r="A146" s="993" t="s">
        <v>147</v>
      </c>
      <c r="B146" s="999">
        <v>9766422100</v>
      </c>
      <c r="C146" s="999">
        <v>9580798600</v>
      </c>
      <c r="D146" s="999">
        <v>18295634300</v>
      </c>
      <c r="E146" s="1002">
        <v>28062056400</v>
      </c>
      <c r="F146" s="1002">
        <v>27876432900</v>
      </c>
      <c r="G146" s="999">
        <v>292702545.44999999</v>
      </c>
      <c r="H146" s="1224" t="s">
        <v>1181</v>
      </c>
      <c r="I146" s="996"/>
      <c r="J146" s="998"/>
      <c r="K146" s="998"/>
      <c r="L146" s="998"/>
      <c r="M146" s="998"/>
      <c r="N146" s="998"/>
    </row>
    <row r="147" spans="1:14" ht="9" customHeight="1">
      <c r="B147" s="999"/>
      <c r="C147" s="999"/>
      <c r="D147" s="999"/>
      <c r="E147" s="1002"/>
      <c r="F147" s="1002"/>
      <c r="G147" s="999"/>
      <c r="J147" s="998"/>
      <c r="K147" s="998"/>
      <c r="L147" s="998"/>
      <c r="M147" s="998"/>
      <c r="N147" s="998"/>
    </row>
    <row r="148" spans="1:14" ht="12" customHeight="1">
      <c r="A148" s="993" t="s">
        <v>149</v>
      </c>
      <c r="B148" s="999">
        <v>566338400</v>
      </c>
      <c r="C148" s="999">
        <v>566338400</v>
      </c>
      <c r="D148" s="999">
        <v>1128123470</v>
      </c>
      <c r="E148" s="1002">
        <v>1694461870</v>
      </c>
      <c r="F148" s="1002">
        <v>1694461870</v>
      </c>
      <c r="G148" s="999">
        <v>20333542.439999998</v>
      </c>
      <c r="H148" s="1224">
        <v>2019</v>
      </c>
      <c r="I148" s="996"/>
      <c r="J148" s="998"/>
      <c r="K148" s="998"/>
      <c r="L148" s="998"/>
      <c r="M148" s="998"/>
      <c r="N148" s="998"/>
    </row>
    <row r="149" spans="1:14" ht="12" customHeight="1">
      <c r="A149" s="993" t="s">
        <v>151</v>
      </c>
      <c r="B149" s="999">
        <v>57225924</v>
      </c>
      <c r="C149" s="999">
        <v>57225924</v>
      </c>
      <c r="D149" s="999">
        <v>241889044</v>
      </c>
      <c r="E149" s="1002">
        <v>299114968</v>
      </c>
      <c r="F149" s="1002">
        <v>299114968</v>
      </c>
      <c r="G149" s="999">
        <v>2392919.7440000004</v>
      </c>
      <c r="H149" s="1224" t="s">
        <v>1181</v>
      </c>
      <c r="I149" s="996"/>
      <c r="J149" s="998"/>
      <c r="K149" s="998"/>
      <c r="L149" s="998"/>
      <c r="M149" s="998"/>
      <c r="N149" s="998"/>
    </row>
    <row r="150" spans="1:14" ht="12" customHeight="1">
      <c r="A150" s="993" t="s">
        <v>153</v>
      </c>
      <c r="B150" s="999">
        <v>313563500</v>
      </c>
      <c r="C150" s="999">
        <v>312348900</v>
      </c>
      <c r="D150" s="999">
        <v>1950610400</v>
      </c>
      <c r="E150" s="1002">
        <v>2264173900</v>
      </c>
      <c r="F150" s="1002">
        <v>2262959300</v>
      </c>
      <c r="G150" s="999">
        <v>19008858.120000001</v>
      </c>
      <c r="H150" s="1224" t="s">
        <v>1181</v>
      </c>
      <c r="I150" s="996"/>
      <c r="J150" s="998"/>
      <c r="K150" s="998"/>
      <c r="L150" s="998"/>
      <c r="M150" s="998"/>
      <c r="N150" s="998"/>
    </row>
    <row r="151" spans="1:14" ht="12" customHeight="1">
      <c r="A151" s="993" t="s">
        <v>155</v>
      </c>
      <c r="B151" s="999">
        <v>64209000</v>
      </c>
      <c r="C151" s="999">
        <v>64209000</v>
      </c>
      <c r="D151" s="999">
        <v>283294600</v>
      </c>
      <c r="E151" s="1002">
        <v>347503600</v>
      </c>
      <c r="F151" s="1002">
        <v>347503600</v>
      </c>
      <c r="G151" s="999">
        <v>3301284.1999999997</v>
      </c>
      <c r="H151" s="1224">
        <v>2019</v>
      </c>
      <c r="I151" s="996"/>
      <c r="J151" s="998"/>
      <c r="K151" s="998"/>
      <c r="L151" s="998"/>
      <c r="M151" s="998"/>
      <c r="N151" s="998"/>
    </row>
    <row r="152" spans="1:14" ht="12" customHeight="1">
      <c r="A152" s="993" t="s">
        <v>1182</v>
      </c>
      <c r="B152" s="999">
        <v>2431393300</v>
      </c>
      <c r="C152" s="999">
        <v>2431393300</v>
      </c>
      <c r="D152" s="999">
        <v>3807791400</v>
      </c>
      <c r="E152" s="1002">
        <v>6239184700</v>
      </c>
      <c r="F152" s="1002">
        <v>6239184700</v>
      </c>
      <c r="G152" s="999">
        <v>67071235.524999999</v>
      </c>
      <c r="H152" s="1224">
        <v>2019</v>
      </c>
      <c r="I152" s="996"/>
      <c r="J152" s="998"/>
      <c r="K152" s="998"/>
      <c r="L152" s="998"/>
      <c r="M152" s="998"/>
      <c r="N152" s="998"/>
    </row>
    <row r="153" spans="1:14" ht="9" customHeight="1">
      <c r="B153" s="999"/>
      <c r="C153" s="999"/>
      <c r="D153" s="999"/>
      <c r="E153" s="1002"/>
      <c r="F153" s="1002"/>
      <c r="G153" s="999"/>
      <c r="J153" s="998"/>
      <c r="K153" s="998"/>
      <c r="L153" s="998"/>
      <c r="M153" s="998"/>
      <c r="N153" s="998"/>
    </row>
    <row r="154" spans="1:14" ht="12" customHeight="1">
      <c r="A154" s="993" t="s">
        <v>1132</v>
      </c>
      <c r="B154" s="999">
        <v>1985851500</v>
      </c>
      <c r="C154" s="999">
        <v>1985851500</v>
      </c>
      <c r="D154" s="999">
        <v>2158668300</v>
      </c>
      <c r="E154" s="1002">
        <v>4144519800</v>
      </c>
      <c r="F154" s="1002">
        <v>4144519800</v>
      </c>
      <c r="G154" s="999">
        <v>55329339.329999998</v>
      </c>
      <c r="H154" s="1224">
        <v>2018</v>
      </c>
      <c r="I154" s="996"/>
      <c r="J154" s="998"/>
      <c r="K154" s="998"/>
      <c r="L154" s="998"/>
      <c r="M154" s="998"/>
      <c r="N154" s="998"/>
    </row>
    <row r="155" spans="1:14" ht="12" customHeight="1">
      <c r="A155" s="993" t="s">
        <v>26</v>
      </c>
      <c r="B155" s="999">
        <v>152853600</v>
      </c>
      <c r="C155" s="999">
        <v>147961305</v>
      </c>
      <c r="D155" s="999">
        <v>418339390</v>
      </c>
      <c r="E155" s="1002">
        <v>571192990</v>
      </c>
      <c r="F155" s="1002">
        <v>566300695</v>
      </c>
      <c r="G155" s="999">
        <v>5832897.1584999999</v>
      </c>
      <c r="H155" s="1224" t="s">
        <v>1181</v>
      </c>
      <c r="I155" s="996"/>
      <c r="J155" s="998"/>
      <c r="K155" s="998"/>
      <c r="L155" s="998"/>
      <c r="M155" s="998"/>
      <c r="N155" s="998"/>
    </row>
    <row r="156" spans="1:14" ht="12" customHeight="1">
      <c r="A156" s="993" t="s">
        <v>160</v>
      </c>
      <c r="B156" s="999">
        <v>1507284100</v>
      </c>
      <c r="C156" s="999">
        <v>1477195000</v>
      </c>
      <c r="D156" s="999">
        <v>2591953600</v>
      </c>
      <c r="E156" s="1002">
        <v>4099237700</v>
      </c>
      <c r="F156" s="1002">
        <v>4069148600</v>
      </c>
      <c r="G156" s="999">
        <v>34587763.100000001</v>
      </c>
      <c r="H156" s="1224" t="s">
        <v>1181</v>
      </c>
      <c r="I156" s="996"/>
      <c r="J156" s="998"/>
      <c r="K156" s="998"/>
      <c r="L156" s="998"/>
      <c r="M156" s="998"/>
      <c r="N156" s="998"/>
    </row>
    <row r="157" spans="1:14" ht="12" customHeight="1">
      <c r="A157" s="993" t="s">
        <v>162</v>
      </c>
      <c r="B157" s="999">
        <v>87493600</v>
      </c>
      <c r="C157" s="999">
        <v>87493600</v>
      </c>
      <c r="D157" s="999">
        <v>357398750</v>
      </c>
      <c r="E157" s="1002">
        <v>444892350</v>
      </c>
      <c r="F157" s="1002">
        <v>444892350</v>
      </c>
      <c r="G157" s="999">
        <v>3759340.3574999999</v>
      </c>
      <c r="H157" s="1224">
        <v>2019</v>
      </c>
      <c r="I157" s="996"/>
      <c r="J157" s="998"/>
      <c r="K157" s="998"/>
      <c r="L157" s="998"/>
      <c r="M157" s="998"/>
      <c r="N157" s="998"/>
    </row>
    <row r="158" spans="1:14" ht="12" customHeight="1">
      <c r="A158" s="993" t="s">
        <v>1186</v>
      </c>
      <c r="B158" s="999">
        <v>3343234000</v>
      </c>
      <c r="C158" s="999">
        <v>3327904300</v>
      </c>
      <c r="D158" s="999">
        <v>7527322100</v>
      </c>
      <c r="E158" s="1002">
        <v>10870556100</v>
      </c>
      <c r="F158" s="1002">
        <v>10855226400</v>
      </c>
      <c r="G158" s="999">
        <v>134604807.35999998</v>
      </c>
      <c r="H158" s="1224" t="s">
        <v>1120</v>
      </c>
      <c r="I158" s="996"/>
      <c r="J158" s="998"/>
      <c r="K158" s="998"/>
      <c r="L158" s="998"/>
      <c r="M158" s="998"/>
      <c r="N158" s="998"/>
    </row>
    <row r="159" spans="1:14" ht="9" customHeight="1">
      <c r="B159" s="999"/>
      <c r="C159" s="999"/>
      <c r="D159" s="999"/>
      <c r="E159" s="1002"/>
      <c r="F159" s="1002"/>
      <c r="G159" s="999"/>
      <c r="J159" s="998"/>
      <c r="K159" s="998"/>
      <c r="L159" s="998"/>
      <c r="M159" s="998"/>
      <c r="N159" s="998"/>
    </row>
    <row r="160" spans="1:14" ht="12" customHeight="1">
      <c r="A160" s="993" t="s">
        <v>1062</v>
      </c>
      <c r="B160" s="999">
        <v>1384993100</v>
      </c>
      <c r="C160" s="999">
        <v>1329558500</v>
      </c>
      <c r="D160" s="999">
        <v>2987285353</v>
      </c>
      <c r="E160" s="1002">
        <v>4372278453</v>
      </c>
      <c r="F160" s="1002">
        <v>4316843853</v>
      </c>
      <c r="G160" s="999">
        <v>37124857.135800004</v>
      </c>
      <c r="H160" s="1224" t="s">
        <v>1181</v>
      </c>
      <c r="I160" s="996"/>
      <c r="J160" s="998"/>
      <c r="K160" s="998"/>
      <c r="L160" s="998"/>
      <c r="M160" s="998"/>
      <c r="N160" s="998"/>
    </row>
    <row r="161" spans="1:83" ht="12" customHeight="1">
      <c r="A161" s="993" t="s">
        <v>168</v>
      </c>
      <c r="B161" s="999">
        <v>340836000</v>
      </c>
      <c r="C161" s="999">
        <v>340836000</v>
      </c>
      <c r="D161" s="999">
        <v>1023662700</v>
      </c>
      <c r="E161" s="1002">
        <v>1364498700</v>
      </c>
      <c r="F161" s="1002">
        <v>1364498700</v>
      </c>
      <c r="G161" s="999">
        <v>15418835.309999999</v>
      </c>
      <c r="H161" s="1224">
        <v>2019</v>
      </c>
      <c r="I161" s="996"/>
      <c r="J161" s="998"/>
      <c r="K161" s="998"/>
      <c r="L161" s="998"/>
      <c r="M161" s="998"/>
      <c r="N161" s="998"/>
    </row>
    <row r="162" spans="1:83" ht="12" customHeight="1">
      <c r="A162" s="993" t="s">
        <v>1063</v>
      </c>
      <c r="B162" s="999">
        <v>171720700</v>
      </c>
      <c r="C162" s="999">
        <v>171720700</v>
      </c>
      <c r="D162" s="999">
        <v>403559700</v>
      </c>
      <c r="E162" s="1002">
        <v>575280400</v>
      </c>
      <c r="F162" s="1002">
        <v>575280400</v>
      </c>
      <c r="G162" s="999">
        <v>6097972.2400000002</v>
      </c>
      <c r="H162" s="1224" t="s">
        <v>1181</v>
      </c>
      <c r="I162" s="996"/>
      <c r="J162" s="998"/>
      <c r="K162" s="998"/>
      <c r="L162" s="998"/>
      <c r="M162" s="998"/>
      <c r="N162" s="998"/>
    </row>
    <row r="163" spans="1:83" ht="12" customHeight="1">
      <c r="A163" s="997" t="s">
        <v>172</v>
      </c>
      <c r="B163" s="999">
        <v>1289705000</v>
      </c>
      <c r="C163" s="999">
        <v>1275799600</v>
      </c>
      <c r="D163" s="999">
        <v>4336870300</v>
      </c>
      <c r="E163" s="1001">
        <v>5626575300</v>
      </c>
      <c r="F163" s="1001">
        <v>5612669900</v>
      </c>
      <c r="G163" s="999">
        <v>62300635.890000008</v>
      </c>
      <c r="H163" s="1224" t="s">
        <v>1181</v>
      </c>
      <c r="I163" s="996"/>
      <c r="J163" s="998"/>
      <c r="K163" s="998"/>
      <c r="L163" s="998"/>
      <c r="M163" s="998"/>
      <c r="N163" s="998"/>
    </row>
    <row r="164" spans="1:83" ht="12" customHeight="1">
      <c r="A164" s="993" t="s">
        <v>1064</v>
      </c>
      <c r="B164" s="999">
        <v>1761136900</v>
      </c>
      <c r="C164" s="999">
        <v>1761136900</v>
      </c>
      <c r="D164" s="999">
        <v>3302609100</v>
      </c>
      <c r="E164" s="1002">
        <v>5063746000</v>
      </c>
      <c r="F164" s="1002">
        <v>5063746000</v>
      </c>
      <c r="G164" s="999">
        <v>74943440.799999997</v>
      </c>
      <c r="H164" s="1224" t="s">
        <v>1181</v>
      </c>
      <c r="I164" s="996"/>
      <c r="J164" s="998"/>
      <c r="K164" s="998"/>
      <c r="L164" s="998"/>
      <c r="M164" s="998"/>
      <c r="N164" s="998"/>
    </row>
    <row r="165" spans="1:83" ht="15">
      <c r="A165" s="992" t="s">
        <v>1061</v>
      </c>
      <c r="J165" s="998"/>
      <c r="K165" s="998"/>
      <c r="L165" s="998"/>
      <c r="M165" s="998"/>
      <c r="N165" s="998"/>
    </row>
    <row r="166" spans="1:83" ht="12.75">
      <c r="A166" s="1397" t="str">
        <f>A125</f>
        <v>Real Estate Fair Market Value (FMV), Fair Market Value (Taxable), and Local Levy by Locality - Tax Year 2019</v>
      </c>
      <c r="B166" s="1397"/>
      <c r="C166" s="1397"/>
      <c r="D166" s="1397"/>
      <c r="E166" s="1397"/>
      <c r="F166" s="1397"/>
      <c r="G166" s="1397"/>
      <c r="H166" s="1397"/>
      <c r="J166" s="998"/>
      <c r="K166" s="998"/>
      <c r="L166" s="998"/>
      <c r="M166" s="998"/>
      <c r="N166" s="998"/>
    </row>
    <row r="167" spans="1:83" ht="12.75" thickBot="1">
      <c r="A167" s="1007"/>
      <c r="B167" s="1007"/>
      <c r="C167" s="1007"/>
      <c r="D167" s="1007"/>
      <c r="E167" s="1007"/>
      <c r="F167" s="1007"/>
      <c r="G167" s="1007"/>
      <c r="H167" s="1007"/>
      <c r="J167" s="998"/>
      <c r="K167" s="998"/>
      <c r="L167" s="998"/>
      <c r="M167" s="998"/>
      <c r="N167" s="998"/>
    </row>
    <row r="168" spans="1:83">
      <c r="J168" s="998"/>
      <c r="K168" s="998"/>
      <c r="L168" s="998"/>
      <c r="M168" s="998"/>
      <c r="N168" s="998"/>
    </row>
    <row r="169" spans="1:83" s="1006" customFormat="1">
      <c r="A169" s="1016" t="s">
        <v>25</v>
      </c>
      <c r="B169" s="1016" t="s">
        <v>1053</v>
      </c>
      <c r="C169" s="1016" t="s">
        <v>1054</v>
      </c>
      <c r="D169" s="1016" t="s">
        <v>1055</v>
      </c>
      <c r="E169" s="1016" t="s">
        <v>1056</v>
      </c>
      <c r="F169" s="1016" t="s">
        <v>1057</v>
      </c>
      <c r="G169" s="1016" t="s">
        <v>1058</v>
      </c>
      <c r="H169" s="1225" t="s">
        <v>1059</v>
      </c>
      <c r="J169" s="998"/>
      <c r="K169" s="998"/>
      <c r="L169" s="998"/>
      <c r="M169" s="998"/>
      <c r="N169" s="998"/>
      <c r="O169" s="1003"/>
      <c r="P169" s="1003"/>
      <c r="Q169" s="1003"/>
      <c r="R169" s="1003"/>
      <c r="S169" s="1003"/>
      <c r="T169" s="1003"/>
      <c r="U169" s="1003"/>
      <c r="V169" s="1003"/>
      <c r="W169" s="1003"/>
      <c r="X169" s="1003"/>
      <c r="Y169" s="1003"/>
      <c r="Z169" s="1003"/>
      <c r="AA169" s="1003"/>
      <c r="AB169" s="1003"/>
      <c r="AC169" s="1003"/>
      <c r="AD169" s="1003"/>
      <c r="AE169" s="1003"/>
      <c r="AF169" s="1003"/>
      <c r="AG169" s="1003"/>
      <c r="AH169" s="1003"/>
      <c r="AI169" s="1003"/>
      <c r="AJ169" s="1003"/>
      <c r="AK169" s="1003"/>
      <c r="AL169" s="1003"/>
      <c r="AM169" s="1003"/>
      <c r="AN169" s="1003"/>
      <c r="AO169" s="1003"/>
      <c r="AP169" s="1003"/>
      <c r="AQ169" s="1003"/>
      <c r="AR169" s="1003"/>
      <c r="AS169" s="1003"/>
      <c r="AT169" s="1003"/>
      <c r="AU169" s="1003"/>
      <c r="AV169" s="1003"/>
      <c r="AW169" s="1003"/>
      <c r="AX169" s="1003"/>
      <c r="AY169" s="1003"/>
      <c r="AZ169" s="1003"/>
      <c r="BA169" s="1003"/>
      <c r="BB169" s="1003"/>
      <c r="BC169" s="1003"/>
      <c r="BD169" s="1003"/>
      <c r="BE169" s="1003"/>
      <c r="BF169" s="1003"/>
      <c r="BG169" s="1003"/>
      <c r="BH169" s="1003"/>
      <c r="BI169" s="1003"/>
      <c r="BJ169" s="1003"/>
      <c r="BK169" s="1003"/>
      <c r="BL169" s="1003"/>
      <c r="BM169" s="1003"/>
      <c r="BN169" s="1003"/>
      <c r="BO169" s="1003"/>
      <c r="BP169" s="1003"/>
      <c r="BQ169" s="1003"/>
      <c r="BR169" s="1003"/>
      <c r="BS169" s="1003"/>
      <c r="BT169" s="1003"/>
      <c r="BU169" s="1003"/>
      <c r="BV169" s="1003"/>
      <c r="BW169" s="1003"/>
      <c r="BX169" s="1003"/>
      <c r="BY169" s="1003"/>
      <c r="BZ169" s="1003"/>
      <c r="CA169" s="1003"/>
      <c r="CB169" s="1003"/>
      <c r="CC169" s="1003"/>
      <c r="CD169" s="1003"/>
      <c r="CE169" s="1003"/>
    </row>
    <row r="170" spans="1:83" ht="8.25" customHeight="1">
      <c r="J170" s="998"/>
      <c r="K170" s="998"/>
      <c r="L170" s="998"/>
      <c r="M170" s="998"/>
      <c r="N170" s="998"/>
    </row>
    <row r="171" spans="1:83" ht="12" customHeight="1">
      <c r="A171" s="993" t="s">
        <v>1185</v>
      </c>
      <c r="B171" s="994">
        <v>489772400</v>
      </c>
      <c r="C171" s="994">
        <v>489772400</v>
      </c>
      <c r="D171" s="994">
        <v>1135913300</v>
      </c>
      <c r="E171" s="1004">
        <v>1625685700</v>
      </c>
      <c r="F171" s="1004">
        <v>1625685700</v>
      </c>
      <c r="G171" s="994">
        <v>25198128.350000001</v>
      </c>
      <c r="H171" s="1224" t="s">
        <v>1120</v>
      </c>
      <c r="I171" s="996"/>
      <c r="J171" s="998"/>
      <c r="K171" s="998"/>
      <c r="L171" s="998"/>
      <c r="M171" s="998"/>
      <c r="N171" s="998"/>
    </row>
    <row r="172" spans="1:83" ht="12" customHeight="1">
      <c r="A172" s="993" t="s">
        <v>178</v>
      </c>
      <c r="B172" s="999">
        <v>126506800</v>
      </c>
      <c r="C172" s="999">
        <v>126506800</v>
      </c>
      <c r="D172" s="999">
        <v>511989200</v>
      </c>
      <c r="E172" s="1002">
        <v>638496000</v>
      </c>
      <c r="F172" s="1002">
        <v>638496000</v>
      </c>
      <c r="G172" s="999">
        <v>6781466.0159999998</v>
      </c>
      <c r="H172" s="1224" t="s">
        <v>1181</v>
      </c>
      <c r="I172" s="996"/>
      <c r="J172" s="998"/>
      <c r="K172" s="998"/>
      <c r="L172" s="998"/>
      <c r="M172" s="998"/>
      <c r="N172" s="998"/>
    </row>
    <row r="173" spans="1:83" ht="12" customHeight="1">
      <c r="A173" s="993" t="s">
        <v>180</v>
      </c>
      <c r="B173" s="999">
        <v>4658073700</v>
      </c>
      <c r="C173" s="999">
        <v>4658073700</v>
      </c>
      <c r="D173" s="999">
        <v>11348126000</v>
      </c>
      <c r="E173" s="1002">
        <v>16006199700</v>
      </c>
      <c r="F173" s="1002">
        <v>16006199700</v>
      </c>
      <c r="G173" s="999">
        <v>195275636.34</v>
      </c>
      <c r="H173" s="1224" t="s">
        <v>1181</v>
      </c>
      <c r="I173" s="996"/>
      <c r="J173" s="998"/>
      <c r="K173" s="998"/>
      <c r="L173" s="998"/>
      <c r="M173" s="998"/>
      <c r="N173" s="998"/>
    </row>
    <row r="174" spans="1:83" ht="12" customHeight="1">
      <c r="A174" s="993" t="s">
        <v>182</v>
      </c>
      <c r="B174" s="999">
        <v>6193789400</v>
      </c>
      <c r="C174" s="999">
        <v>6193789400</v>
      </c>
      <c r="D174" s="999">
        <v>14882994300</v>
      </c>
      <c r="E174" s="1002">
        <v>21076783700</v>
      </c>
      <c r="F174" s="1002">
        <v>21076783700</v>
      </c>
      <c r="G174" s="999">
        <v>263459796.25</v>
      </c>
      <c r="H174" s="1224" t="s">
        <v>1181</v>
      </c>
      <c r="I174" s="996"/>
      <c r="J174" s="998"/>
      <c r="K174" s="998"/>
      <c r="L174" s="998"/>
      <c r="M174" s="998"/>
      <c r="N174" s="998"/>
    </row>
    <row r="175" spans="1:83" ht="12" customHeight="1">
      <c r="A175" s="993" t="s">
        <v>1065</v>
      </c>
      <c r="B175" s="999">
        <v>59988700</v>
      </c>
      <c r="C175" s="999">
        <v>59988700</v>
      </c>
      <c r="D175" s="999">
        <v>173548500</v>
      </c>
      <c r="E175" s="1002">
        <v>233537200</v>
      </c>
      <c r="F175" s="1002">
        <v>233537200</v>
      </c>
      <c r="G175" s="999">
        <v>2101834.8000000003</v>
      </c>
      <c r="H175" s="1224">
        <v>2019</v>
      </c>
      <c r="I175" s="996"/>
      <c r="J175" s="998"/>
      <c r="K175" s="998"/>
      <c r="L175" s="998"/>
      <c r="M175" s="998"/>
      <c r="N175" s="998"/>
    </row>
    <row r="176" spans="1:83" ht="9" customHeight="1">
      <c r="B176" s="999"/>
      <c r="C176" s="999"/>
      <c r="D176" s="999"/>
      <c r="E176" s="1002"/>
      <c r="F176" s="1002"/>
      <c r="G176" s="999"/>
      <c r="J176" s="998"/>
      <c r="K176" s="998"/>
      <c r="L176" s="998"/>
      <c r="M176" s="998"/>
      <c r="N176" s="998"/>
    </row>
    <row r="177" spans="1:14" ht="12" customHeight="1">
      <c r="A177" s="1009" t="s">
        <v>1184</v>
      </c>
      <c r="B177" s="999">
        <v>417381397</v>
      </c>
      <c r="C177" s="999">
        <v>410790697</v>
      </c>
      <c r="D177" s="999">
        <v>1504699352</v>
      </c>
      <c r="E177" s="1002">
        <v>1922080749</v>
      </c>
      <c r="F177" s="1002">
        <v>1915490049</v>
      </c>
      <c r="G177" s="999">
        <v>25859115.661499999</v>
      </c>
      <c r="H177" s="1224" t="s">
        <v>1120</v>
      </c>
      <c r="I177" s="996"/>
      <c r="J177" s="998"/>
      <c r="K177" s="998"/>
      <c r="L177" s="998"/>
      <c r="M177" s="998"/>
      <c r="N177" s="998"/>
    </row>
    <row r="178" spans="1:14" ht="12" customHeight="1">
      <c r="A178" s="993" t="s">
        <v>1183</v>
      </c>
      <c r="B178" s="999">
        <v>665040100</v>
      </c>
      <c r="C178" s="999">
        <v>665040100</v>
      </c>
      <c r="D178" s="999">
        <v>937009225</v>
      </c>
      <c r="E178" s="1002">
        <v>1602049325</v>
      </c>
      <c r="F178" s="1002">
        <v>1602049325</v>
      </c>
      <c r="G178" s="999">
        <v>18263362.305</v>
      </c>
      <c r="H178" s="1224" t="s">
        <v>1120</v>
      </c>
      <c r="I178" s="996"/>
      <c r="J178" s="998"/>
      <c r="K178" s="998"/>
      <c r="L178" s="998"/>
      <c r="M178" s="998"/>
      <c r="N178" s="998"/>
    </row>
    <row r="179" spans="1:14" ht="12" customHeight="1">
      <c r="A179" s="993" t="s">
        <v>1133</v>
      </c>
      <c r="B179" s="999">
        <v>2117952670</v>
      </c>
      <c r="C179" s="999">
        <v>2117952670</v>
      </c>
      <c r="D179" s="999">
        <v>5376818732</v>
      </c>
      <c r="E179" s="1002">
        <v>7494771402</v>
      </c>
      <c r="F179" s="1002">
        <v>7494771402</v>
      </c>
      <c r="G179" s="999">
        <v>97432028.225999996</v>
      </c>
      <c r="H179" s="1224" t="s">
        <v>1120</v>
      </c>
      <c r="I179" s="996"/>
      <c r="J179" s="998"/>
      <c r="K179" s="998"/>
      <c r="L179" s="998"/>
      <c r="M179" s="998"/>
      <c r="N179" s="998"/>
    </row>
    <row r="180" spans="1:14" ht="12" customHeight="1">
      <c r="A180" s="993" t="s">
        <v>192</v>
      </c>
      <c r="B180" s="999">
        <v>170166200</v>
      </c>
      <c r="C180" s="999">
        <v>167885450</v>
      </c>
      <c r="D180" s="999">
        <v>652781400</v>
      </c>
      <c r="E180" s="1002">
        <v>822947600</v>
      </c>
      <c r="F180" s="1002">
        <v>820666850</v>
      </c>
      <c r="G180" s="999">
        <v>6729468.1699999999</v>
      </c>
      <c r="H180" s="1224">
        <v>2019</v>
      </c>
      <c r="I180" s="996"/>
      <c r="J180" s="998"/>
      <c r="K180" s="998"/>
      <c r="L180" s="998"/>
      <c r="M180" s="998"/>
      <c r="N180" s="998"/>
    </row>
    <row r="181" spans="1:14" ht="12" customHeight="1">
      <c r="A181" s="993" t="s">
        <v>1190</v>
      </c>
      <c r="B181" s="999">
        <v>6033262000</v>
      </c>
      <c r="C181" s="999">
        <v>6033262000</v>
      </c>
      <c r="D181" s="999">
        <v>16677621000</v>
      </c>
      <c r="E181" s="1002">
        <v>22710883000</v>
      </c>
      <c r="F181" s="1002">
        <v>22710883000</v>
      </c>
      <c r="G181" s="999">
        <v>272530596</v>
      </c>
      <c r="H181" s="1224">
        <v>2018</v>
      </c>
      <c r="I181" s="996"/>
      <c r="J181" s="998"/>
      <c r="K181" s="998"/>
      <c r="L181" s="998"/>
      <c r="M181" s="998"/>
      <c r="N181" s="998"/>
    </row>
    <row r="182" spans="1:14" ht="9" customHeight="1">
      <c r="B182" s="999"/>
      <c r="C182" s="999"/>
      <c r="D182" s="999"/>
      <c r="E182" s="1002"/>
      <c r="F182" s="1002"/>
      <c r="G182" s="999"/>
      <c r="J182" s="998"/>
      <c r="K182" s="998"/>
      <c r="L182" s="998"/>
      <c r="M182" s="998"/>
      <c r="N182" s="998"/>
    </row>
    <row r="183" spans="1:14" ht="12" customHeight="1">
      <c r="A183" s="993" t="s">
        <v>27</v>
      </c>
      <c r="B183" s="999">
        <v>1633867600</v>
      </c>
      <c r="C183" s="999">
        <v>1633867600</v>
      </c>
      <c r="D183" s="999">
        <v>6328248000</v>
      </c>
      <c r="E183" s="1002">
        <v>7962115600</v>
      </c>
      <c r="F183" s="1002">
        <v>7962115600</v>
      </c>
      <c r="G183" s="999">
        <v>97137810.319999993</v>
      </c>
      <c r="H183" s="1224" t="s">
        <v>1181</v>
      </c>
      <c r="I183" s="996"/>
      <c r="J183" s="998"/>
      <c r="K183" s="998"/>
      <c r="L183" s="998"/>
      <c r="M183" s="998"/>
      <c r="N183" s="998"/>
    </row>
    <row r="184" spans="1:14" ht="12" customHeight="1">
      <c r="A184" s="993" t="s">
        <v>193</v>
      </c>
      <c r="B184" s="999">
        <v>533194900</v>
      </c>
      <c r="C184" s="999">
        <v>533194900</v>
      </c>
      <c r="D184" s="999">
        <v>1744471200</v>
      </c>
      <c r="E184" s="1002">
        <v>2277666100</v>
      </c>
      <c r="F184" s="1002">
        <v>2277666100</v>
      </c>
      <c r="G184" s="999">
        <v>27331993.199999999</v>
      </c>
      <c r="H184" s="1224" t="s">
        <v>1181</v>
      </c>
      <c r="I184" s="996"/>
      <c r="J184" s="998"/>
      <c r="K184" s="998"/>
      <c r="L184" s="998"/>
      <c r="M184" s="998"/>
      <c r="N184" s="998"/>
    </row>
    <row r="185" spans="1:14" ht="12" customHeight="1">
      <c r="A185" s="993" t="s">
        <v>194</v>
      </c>
      <c r="B185" s="999">
        <v>445096449</v>
      </c>
      <c r="C185" s="999">
        <v>427001165</v>
      </c>
      <c r="D185" s="999">
        <v>1597967620</v>
      </c>
      <c r="E185" s="1002">
        <v>2043064069</v>
      </c>
      <c r="F185" s="1002">
        <v>2024968785</v>
      </c>
      <c r="G185" s="999">
        <v>19237203.4575</v>
      </c>
      <c r="H185" s="1224">
        <v>2019</v>
      </c>
      <c r="I185" s="996"/>
      <c r="J185" s="998"/>
      <c r="K185" s="998"/>
      <c r="L185" s="998"/>
      <c r="M185" s="998"/>
      <c r="N185" s="998"/>
    </row>
    <row r="186" spans="1:14" ht="12" customHeight="1">
      <c r="A186" s="993" t="s">
        <v>195</v>
      </c>
      <c r="B186" s="999">
        <v>3533055200</v>
      </c>
      <c r="C186" s="999">
        <v>3074878700</v>
      </c>
      <c r="D186" s="999">
        <v>6980072200</v>
      </c>
      <c r="E186" s="1002">
        <v>10513127400</v>
      </c>
      <c r="F186" s="1002">
        <v>10054950900</v>
      </c>
      <c r="G186" s="999">
        <v>111609954.99000001</v>
      </c>
      <c r="H186" s="1224" t="s">
        <v>1181</v>
      </c>
      <c r="I186" s="996"/>
      <c r="J186" s="998"/>
      <c r="K186" s="998"/>
      <c r="L186" s="998"/>
      <c r="M186" s="998"/>
      <c r="N186" s="998"/>
    </row>
    <row r="187" spans="1:14" ht="12" customHeight="1">
      <c r="A187" s="993" t="s">
        <v>697</v>
      </c>
      <c r="B187" s="999">
        <v>24684935400</v>
      </c>
      <c r="C187" s="999">
        <v>24413593800</v>
      </c>
      <c r="D187" s="999">
        <v>34873616300</v>
      </c>
      <c r="E187" s="1002">
        <v>59558551700</v>
      </c>
      <c r="F187" s="1002">
        <v>59287210100</v>
      </c>
      <c r="G187" s="999">
        <v>603247362.76750004</v>
      </c>
      <c r="H187" s="1224" t="s">
        <v>1181</v>
      </c>
      <c r="I187" s="996"/>
      <c r="J187" s="998"/>
      <c r="K187" s="998"/>
      <c r="L187" s="998"/>
      <c r="M187" s="998"/>
      <c r="N187" s="998"/>
    </row>
    <row r="188" spans="1:14" ht="9" customHeight="1">
      <c r="B188" s="999"/>
      <c r="C188" s="999"/>
      <c r="D188" s="999"/>
      <c r="E188" s="1002"/>
      <c r="F188" s="1002"/>
      <c r="G188" s="999"/>
      <c r="J188" s="998"/>
      <c r="K188" s="998"/>
      <c r="L188" s="998"/>
      <c r="M188" s="998"/>
      <c r="N188" s="998"/>
    </row>
    <row r="189" spans="1:14" ht="12" customHeight="1">
      <c r="A189" s="993" t="s">
        <v>197</v>
      </c>
      <c r="B189" s="999">
        <v>606496100</v>
      </c>
      <c r="C189" s="999">
        <v>594592100</v>
      </c>
      <c r="D189" s="999">
        <v>1301983600</v>
      </c>
      <c r="E189" s="1002">
        <v>1908479700</v>
      </c>
      <c r="F189" s="1002">
        <v>1896575700</v>
      </c>
      <c r="G189" s="999">
        <v>17069181.300000001</v>
      </c>
      <c r="H189" s="1224">
        <v>2019</v>
      </c>
      <c r="I189" s="996"/>
      <c r="J189" s="998"/>
      <c r="K189" s="998"/>
      <c r="L189" s="998"/>
      <c r="M189" s="998"/>
      <c r="N189" s="998"/>
    </row>
    <row r="190" spans="1:14" ht="12" customHeight="1">
      <c r="A190" s="993" t="s">
        <v>1066</v>
      </c>
      <c r="B190" s="999">
        <v>678557200</v>
      </c>
      <c r="C190" s="999">
        <v>678557200</v>
      </c>
      <c r="D190" s="999">
        <v>1318127100</v>
      </c>
      <c r="E190" s="1002">
        <v>1996684300</v>
      </c>
      <c r="F190" s="1002">
        <v>1996684300</v>
      </c>
      <c r="G190" s="999">
        <v>11980105.799999999</v>
      </c>
      <c r="H190" s="1224" t="s">
        <v>1181</v>
      </c>
      <c r="I190" s="996"/>
      <c r="J190" s="998"/>
      <c r="K190" s="998"/>
      <c r="L190" s="998"/>
      <c r="M190" s="998"/>
      <c r="N190" s="998"/>
    </row>
    <row r="191" spans="1:14" ht="12" customHeight="1">
      <c r="A191" s="993" t="s">
        <v>201</v>
      </c>
      <c r="B191" s="999">
        <v>1047251364</v>
      </c>
      <c r="C191" s="999">
        <v>1045551536</v>
      </c>
      <c r="D191" s="999">
        <v>2144397125</v>
      </c>
      <c r="E191" s="1002">
        <v>3191648489</v>
      </c>
      <c r="F191" s="1002">
        <v>3189948661</v>
      </c>
      <c r="G191" s="999">
        <v>29666522.5473</v>
      </c>
      <c r="H191" s="1224">
        <v>2019</v>
      </c>
      <c r="I191" s="996"/>
      <c r="J191" s="998"/>
      <c r="K191" s="998"/>
      <c r="L191" s="998"/>
      <c r="M191" s="998"/>
      <c r="N191" s="998"/>
    </row>
    <row r="192" spans="1:14">
      <c r="I192" s="996"/>
    </row>
    <row r="193" spans="1:83" s="1005" customFormat="1" ht="12.75" customHeight="1">
      <c r="A193" s="1239" t="s">
        <v>29</v>
      </c>
      <c r="B193" s="1027">
        <f t="shared" ref="B193:G193" si="1">SUM(B142:B164,B171:B191)</f>
        <v>98290338560</v>
      </c>
      <c r="C193" s="1027">
        <f t="shared" si="1"/>
        <v>97213583803</v>
      </c>
      <c r="D193" s="1027">
        <f t="shared" si="1"/>
        <v>189998190846</v>
      </c>
      <c r="E193" s="1027">
        <f t="shared" si="1"/>
        <v>288288529406</v>
      </c>
      <c r="F193" s="1027">
        <f t="shared" si="1"/>
        <v>287211774649</v>
      </c>
      <c r="G193" s="1027">
        <f t="shared" si="1"/>
        <v>3202599798.3828998</v>
      </c>
      <c r="H193" s="1228"/>
      <c r="J193" s="1237"/>
      <c r="K193" s="1237"/>
      <c r="L193" s="1237"/>
      <c r="M193" s="1237"/>
      <c r="N193" s="1237"/>
      <c r="O193" s="1237"/>
      <c r="P193" s="1237"/>
      <c r="Q193" s="1237"/>
      <c r="R193" s="1237"/>
      <c r="S193" s="1237"/>
      <c r="T193" s="1237"/>
      <c r="U193" s="1237"/>
      <c r="V193" s="1237"/>
      <c r="W193" s="1237"/>
      <c r="X193" s="1237"/>
      <c r="Y193" s="1237"/>
      <c r="Z193" s="1237"/>
      <c r="AA193" s="1237"/>
      <c r="AB193" s="1237"/>
      <c r="AC193" s="1237"/>
      <c r="AD193" s="1237"/>
      <c r="AE193" s="1237"/>
      <c r="AF193" s="1237"/>
      <c r="AG193" s="1237"/>
      <c r="AH193" s="1237"/>
      <c r="AI193" s="1237"/>
      <c r="AJ193" s="1237"/>
      <c r="AK193" s="1237"/>
      <c r="AL193" s="1237"/>
      <c r="AM193" s="1237"/>
      <c r="AN193" s="1237"/>
      <c r="AO193" s="1237"/>
      <c r="AP193" s="1237"/>
      <c r="AQ193" s="1237"/>
      <c r="AR193" s="1237"/>
      <c r="AS193" s="1237"/>
      <c r="AT193" s="1237"/>
      <c r="AU193" s="1237"/>
      <c r="AV193" s="1237"/>
      <c r="AW193" s="1237"/>
      <c r="AX193" s="1237"/>
      <c r="AY193" s="1237"/>
      <c r="AZ193" s="1237"/>
      <c r="BA193" s="1237"/>
      <c r="BB193" s="1237"/>
      <c r="BC193" s="1237"/>
      <c r="BD193" s="1237"/>
      <c r="BE193" s="1237"/>
      <c r="BF193" s="1237"/>
      <c r="BG193" s="1237"/>
      <c r="BH193" s="1237"/>
      <c r="BI193" s="1237"/>
      <c r="BJ193" s="1237"/>
      <c r="BK193" s="1237"/>
      <c r="BL193" s="1237"/>
      <c r="BM193" s="1237"/>
      <c r="BN193" s="1237"/>
      <c r="BO193" s="1237"/>
      <c r="BP193" s="1237"/>
      <c r="BQ193" s="1237"/>
      <c r="BR193" s="1237"/>
      <c r="BS193" s="1237"/>
      <c r="BT193" s="1237"/>
      <c r="BU193" s="1237"/>
      <c r="BV193" s="1237"/>
      <c r="BW193" s="1237"/>
      <c r="BX193" s="1237"/>
      <c r="BY193" s="1237"/>
      <c r="BZ193" s="1237"/>
      <c r="CA193" s="1237"/>
      <c r="CB193" s="1237"/>
      <c r="CC193" s="1237"/>
      <c r="CD193" s="1237"/>
      <c r="CE193" s="1237"/>
    </row>
    <row r="194" spans="1:83" s="1005" customFormat="1" ht="12.75" customHeight="1">
      <c r="A194" s="1239" t="s">
        <v>24</v>
      </c>
      <c r="B194" s="1027">
        <f t="shared" ref="B194:G194" si="2">B136</f>
        <v>323259486973</v>
      </c>
      <c r="C194" s="1027">
        <f t="shared" si="2"/>
        <v>298221486450</v>
      </c>
      <c r="D194" s="1027">
        <f t="shared" si="2"/>
        <v>587016530456</v>
      </c>
      <c r="E194" s="1027">
        <f t="shared" si="2"/>
        <v>910276017429</v>
      </c>
      <c r="F194" s="1027">
        <f t="shared" si="2"/>
        <v>885238016906</v>
      </c>
      <c r="G194" s="1027">
        <f t="shared" si="2"/>
        <v>8451984600.3172655</v>
      </c>
      <c r="H194" s="1228"/>
      <c r="J194" s="1237"/>
      <c r="K194" s="1237"/>
      <c r="L194" s="1237"/>
      <c r="M194" s="1237"/>
      <c r="N194" s="1237"/>
      <c r="O194" s="1237"/>
      <c r="P194" s="1237"/>
      <c r="Q194" s="1237"/>
      <c r="R194" s="1237"/>
      <c r="S194" s="1237"/>
      <c r="T194" s="1237"/>
      <c r="U194" s="1237"/>
      <c r="V194" s="1237"/>
      <c r="W194" s="1237"/>
      <c r="X194" s="1237"/>
      <c r="Y194" s="1237"/>
      <c r="Z194" s="1237"/>
      <c r="AA194" s="1237"/>
      <c r="AB194" s="1237"/>
      <c r="AC194" s="1237"/>
      <c r="AD194" s="1237"/>
      <c r="AE194" s="1237"/>
      <c r="AF194" s="1237"/>
      <c r="AG194" s="1237"/>
      <c r="AH194" s="1237"/>
      <c r="AI194" s="1237"/>
      <c r="AJ194" s="1237"/>
      <c r="AK194" s="1237"/>
      <c r="AL194" s="1237"/>
      <c r="AM194" s="1237"/>
      <c r="AN194" s="1237"/>
      <c r="AO194" s="1237"/>
      <c r="AP194" s="1237"/>
      <c r="AQ194" s="1237"/>
      <c r="AR194" s="1237"/>
      <c r="AS194" s="1237"/>
      <c r="AT194" s="1237"/>
      <c r="AU194" s="1237"/>
      <c r="AV194" s="1237"/>
      <c r="AW194" s="1237"/>
      <c r="AX194" s="1237"/>
      <c r="AY194" s="1237"/>
      <c r="AZ194" s="1237"/>
      <c r="BA194" s="1237"/>
      <c r="BB194" s="1237"/>
      <c r="BC194" s="1237"/>
      <c r="BD194" s="1237"/>
      <c r="BE194" s="1237"/>
      <c r="BF194" s="1237"/>
      <c r="BG194" s="1237"/>
      <c r="BH194" s="1237"/>
      <c r="BI194" s="1237"/>
      <c r="BJ194" s="1237"/>
      <c r="BK194" s="1237"/>
      <c r="BL194" s="1237"/>
      <c r="BM194" s="1237"/>
      <c r="BN194" s="1237"/>
      <c r="BO194" s="1237"/>
      <c r="BP194" s="1237"/>
      <c r="BQ194" s="1237"/>
      <c r="BR194" s="1237"/>
      <c r="BS194" s="1237"/>
      <c r="BT194" s="1237"/>
      <c r="BU194" s="1237"/>
      <c r="BV194" s="1237"/>
      <c r="BW194" s="1237"/>
      <c r="BX194" s="1237"/>
      <c r="BY194" s="1237"/>
      <c r="BZ194" s="1237"/>
      <c r="CA194" s="1237"/>
      <c r="CB194" s="1237"/>
      <c r="CC194" s="1237"/>
      <c r="CD194" s="1237"/>
      <c r="CE194" s="1237"/>
    </row>
    <row r="195" spans="1:83">
      <c r="A195" s="1240"/>
      <c r="B195" s="1241"/>
      <c r="C195" s="1241"/>
      <c r="D195" s="1241"/>
      <c r="E195" s="1241"/>
      <c r="F195" s="1241"/>
      <c r="G195" s="1241"/>
      <c r="H195" s="1231"/>
    </row>
    <row r="196" spans="1:83" s="1005" customFormat="1" ht="12.75" customHeight="1">
      <c r="A196" s="1239" t="s">
        <v>30</v>
      </c>
      <c r="B196" s="1027">
        <f t="shared" ref="B196:G196" si="3">B193+B194</f>
        <v>421549825533</v>
      </c>
      <c r="C196" s="1027">
        <f t="shared" si="3"/>
        <v>395435070253</v>
      </c>
      <c r="D196" s="1027">
        <f>D193+D194</f>
        <v>777014721302</v>
      </c>
      <c r="E196" s="1027">
        <f t="shared" si="3"/>
        <v>1198564546835</v>
      </c>
      <c r="F196" s="1027">
        <f t="shared" si="3"/>
        <v>1172449791555</v>
      </c>
      <c r="G196" s="1027">
        <f t="shared" si="3"/>
        <v>11654584398.700165</v>
      </c>
      <c r="H196" s="1228"/>
      <c r="J196" s="1237"/>
      <c r="K196" s="1237"/>
      <c r="L196" s="1237"/>
      <c r="M196" s="1237"/>
      <c r="N196" s="1237"/>
      <c r="O196" s="1237"/>
      <c r="P196" s="1237"/>
      <c r="Q196" s="1237"/>
      <c r="R196" s="1237"/>
      <c r="S196" s="1237"/>
      <c r="T196" s="1237"/>
      <c r="U196" s="1237"/>
      <c r="V196" s="1237"/>
      <c r="W196" s="1237"/>
      <c r="X196" s="1237"/>
      <c r="Y196" s="1237"/>
      <c r="Z196" s="1237"/>
      <c r="AA196" s="1237"/>
      <c r="AB196" s="1237"/>
      <c r="AC196" s="1237"/>
      <c r="AD196" s="1237"/>
      <c r="AE196" s="1237"/>
      <c r="AF196" s="1237"/>
      <c r="AG196" s="1237"/>
      <c r="AH196" s="1237"/>
      <c r="AI196" s="1237"/>
      <c r="AJ196" s="1237"/>
      <c r="AK196" s="1237"/>
      <c r="AL196" s="1237"/>
      <c r="AM196" s="1237"/>
      <c r="AN196" s="1237"/>
      <c r="AO196" s="1237"/>
      <c r="AP196" s="1237"/>
      <c r="AQ196" s="1237"/>
      <c r="AR196" s="1237"/>
      <c r="AS196" s="1237"/>
      <c r="AT196" s="1237"/>
      <c r="AU196" s="1237"/>
      <c r="AV196" s="1237"/>
      <c r="AW196" s="1237"/>
      <c r="AX196" s="1237"/>
      <c r="AY196" s="1237"/>
      <c r="AZ196" s="1237"/>
      <c r="BA196" s="1237"/>
      <c r="BB196" s="1237"/>
      <c r="BC196" s="1237"/>
      <c r="BD196" s="1237"/>
      <c r="BE196" s="1237"/>
      <c r="BF196" s="1237"/>
      <c r="BG196" s="1237"/>
      <c r="BH196" s="1237"/>
      <c r="BI196" s="1237"/>
      <c r="BJ196" s="1237"/>
      <c r="BK196" s="1237"/>
      <c r="BL196" s="1237"/>
      <c r="BM196" s="1237"/>
      <c r="BN196" s="1237"/>
      <c r="BO196" s="1237"/>
      <c r="BP196" s="1237"/>
      <c r="BQ196" s="1237"/>
      <c r="BR196" s="1237"/>
      <c r="BS196" s="1237"/>
      <c r="BT196" s="1237"/>
      <c r="BU196" s="1237"/>
      <c r="BV196" s="1237"/>
      <c r="BW196" s="1237"/>
      <c r="BX196" s="1237"/>
      <c r="BY196" s="1237"/>
      <c r="BZ196" s="1237"/>
      <c r="CA196" s="1237"/>
      <c r="CB196" s="1237"/>
      <c r="CC196" s="1237"/>
      <c r="CD196" s="1237"/>
      <c r="CE196" s="1237"/>
    </row>
    <row r="197" spans="1:83">
      <c r="A197" s="1009"/>
      <c r="B197" s="1242"/>
      <c r="C197" s="1242"/>
      <c r="D197" s="1242"/>
      <c r="E197" s="1242"/>
      <c r="F197" s="1242"/>
      <c r="G197" s="1242"/>
      <c r="H197" s="1232"/>
    </row>
    <row r="198" spans="1:83">
      <c r="A198" s="993" t="s">
        <v>1</v>
      </c>
      <c r="B198" s="1243"/>
      <c r="C198" s="1243"/>
      <c r="D198" s="1243"/>
      <c r="E198" s="1243"/>
      <c r="F198" s="1243"/>
      <c r="G198" s="1243"/>
      <c r="H198" s="1232"/>
    </row>
    <row r="199" spans="1:83">
      <c r="A199" s="1396" t="s">
        <v>1067</v>
      </c>
      <c r="B199" s="1396"/>
      <c r="C199" s="1396"/>
      <c r="D199" s="1396"/>
      <c r="E199" s="1396"/>
      <c r="F199" s="1396"/>
      <c r="G199" s="1396"/>
      <c r="H199" s="1396"/>
    </row>
    <row r="200" spans="1:83">
      <c r="A200" s="1396" t="s">
        <v>1068</v>
      </c>
      <c r="B200" s="1396"/>
      <c r="C200" s="1396"/>
      <c r="D200" s="1396"/>
      <c r="E200" s="1396"/>
      <c r="F200" s="1396"/>
      <c r="G200" s="1396"/>
      <c r="H200" s="1396"/>
    </row>
    <row r="201" spans="1:83">
      <c r="A201" s="1396" t="s">
        <v>1069</v>
      </c>
      <c r="B201" s="1396"/>
      <c r="C201" s="1396"/>
      <c r="D201" s="1396"/>
      <c r="E201" s="1396"/>
      <c r="F201" s="1396"/>
      <c r="G201" s="1396"/>
      <c r="H201" s="1396"/>
    </row>
    <row r="202" spans="1:83">
      <c r="A202" s="1396" t="s">
        <v>1070</v>
      </c>
      <c r="B202" s="1396"/>
      <c r="C202" s="1396"/>
      <c r="D202" s="1396"/>
      <c r="E202" s="1396"/>
      <c r="F202" s="1396"/>
      <c r="G202" s="1396"/>
      <c r="H202" s="1396"/>
    </row>
    <row r="203" spans="1:83">
      <c r="A203" s="1009" t="s">
        <v>1071</v>
      </c>
    </row>
    <row r="204" spans="1:83">
      <c r="A204" s="1009" t="s">
        <v>1072</v>
      </c>
    </row>
    <row r="205" spans="1:83">
      <c r="A205" s="1245" t="s">
        <v>1175</v>
      </c>
      <c r="B205" s="1037"/>
      <c r="C205" s="1037"/>
      <c r="D205" s="1037"/>
      <c r="E205" s="1037"/>
      <c r="F205" s="1037"/>
      <c r="G205" s="1037"/>
    </row>
    <row r="206" spans="1:83">
      <c r="A206" s="1037"/>
      <c r="B206" s="1037"/>
      <c r="C206" s="1037"/>
      <c r="D206" s="1037"/>
      <c r="E206" s="1037"/>
      <c r="F206" s="1037"/>
      <c r="G206" s="1037"/>
    </row>
    <row r="207" spans="1:83">
      <c r="A207" s="1037"/>
      <c r="B207" s="1200">
        <v>421298038880</v>
      </c>
      <c r="C207" s="1200">
        <v>394845999139</v>
      </c>
      <c r="D207" s="1200">
        <v>776184648449</v>
      </c>
      <c r="E207" s="1200">
        <v>1197482687329</v>
      </c>
      <c r="F207" s="1200">
        <v>1171030647588</v>
      </c>
      <c r="G207" s="1200">
        <v>11259611998.497469</v>
      </c>
    </row>
    <row r="208" spans="1:83">
      <c r="B208" s="1244">
        <f>B196-B207</f>
        <v>251786653</v>
      </c>
      <c r="C208" s="1244">
        <f t="shared" ref="C208:G208" si="4">C196-C207</f>
        <v>589071114</v>
      </c>
      <c r="D208" s="1244">
        <f t="shared" si="4"/>
        <v>830072853</v>
      </c>
      <c r="E208" s="1244">
        <f t="shared" si="4"/>
        <v>1081859506</v>
      </c>
      <c r="F208" s="1244">
        <f t="shared" si="4"/>
        <v>1419143967</v>
      </c>
      <c r="G208" s="1244">
        <f t="shared" si="4"/>
        <v>394972400.20269585</v>
      </c>
    </row>
    <row r="209" spans="2:7">
      <c r="B209" s="1038"/>
      <c r="C209" s="1038"/>
      <c r="D209" s="1038"/>
      <c r="E209" s="1038"/>
      <c r="F209" s="1038"/>
      <c r="G209" s="1038"/>
    </row>
    <row r="210" spans="2:7">
      <c r="B210" s="1038"/>
      <c r="C210" s="1038"/>
      <c r="D210" s="1038"/>
      <c r="E210" s="1038"/>
      <c r="F210" s="1038"/>
      <c r="G210" s="1038"/>
    </row>
    <row r="211" spans="2:7">
      <c r="B211" s="994"/>
      <c r="C211" s="994"/>
      <c r="D211" s="994"/>
      <c r="E211" s="994"/>
      <c r="F211" s="994"/>
      <c r="G211" s="994"/>
    </row>
    <row r="212" spans="2:7">
      <c r="B212" s="994"/>
      <c r="C212" s="994"/>
      <c r="D212" s="994"/>
      <c r="E212" s="994"/>
      <c r="F212" s="994"/>
      <c r="G212" s="994"/>
    </row>
    <row r="214" spans="2:7">
      <c r="B214" s="994"/>
      <c r="C214" s="994"/>
      <c r="D214" s="994"/>
      <c r="E214" s="994"/>
      <c r="F214" s="994"/>
      <c r="G214" s="994"/>
    </row>
  </sheetData>
  <mergeCells count="9">
    <mergeCell ref="A202:H202"/>
    <mergeCell ref="A199:H199"/>
    <mergeCell ref="A200:H200"/>
    <mergeCell ref="A201:H201"/>
    <mergeCell ref="A2:H2"/>
    <mergeCell ref="A43:H43"/>
    <mergeCell ref="A84:H84"/>
    <mergeCell ref="A125:H125"/>
    <mergeCell ref="A166:H166"/>
  </mergeCells>
  <printOptions horizontalCentered="1"/>
  <pageMargins left="0.25" right="0.25" top="0.7" bottom="1.18" header="0.25" footer="0.4"/>
  <pageSetup fitToHeight="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8"/>
  <sheetViews>
    <sheetView workbookViewId="0"/>
  </sheetViews>
  <sheetFormatPr defaultColWidth="8.7109375" defaultRowHeight="12"/>
  <cols>
    <col min="1" max="1" width="16.7109375" style="993" customWidth="1"/>
    <col min="2" max="2" width="17" style="993" bestFit="1" customWidth="1"/>
    <col min="3" max="3" width="16.28515625" style="993" bestFit="1" customWidth="1"/>
    <col min="4" max="4" width="15.28515625" style="993" bestFit="1" customWidth="1"/>
    <col min="5" max="5" width="16.28515625" style="993" bestFit="1" customWidth="1"/>
    <col min="6" max="6" width="16.85546875" style="993" customWidth="1"/>
    <col min="7" max="7" width="12.7109375" style="993" bestFit="1" customWidth="1"/>
    <col min="8" max="8" width="14.42578125" style="993" bestFit="1" customWidth="1"/>
    <col min="9" max="9" width="8.7109375" style="993" customWidth="1"/>
    <col min="10" max="10" width="17.85546875" style="996" bestFit="1" customWidth="1"/>
    <col min="11" max="16384" width="8.7109375" style="993"/>
  </cols>
  <sheetData>
    <row r="1" spans="1:13" s="1006" customFormat="1" ht="15">
      <c r="A1" s="992" t="s">
        <v>1073</v>
      </c>
      <c r="J1" s="1010"/>
    </row>
    <row r="2" spans="1:13" s="1011" customFormat="1" ht="12.75">
      <c r="A2" s="1397" t="s">
        <v>1166</v>
      </c>
      <c r="B2" s="1397"/>
      <c r="C2" s="1397"/>
      <c r="D2" s="1397"/>
      <c r="E2" s="1397"/>
      <c r="F2" s="1397"/>
      <c r="G2" s="1397"/>
      <c r="H2" s="1397"/>
      <c r="J2" s="1012"/>
    </row>
    <row r="3" spans="1:13" s="1006" customFormat="1" ht="12.75" thickBot="1">
      <c r="A3" s="1013"/>
      <c r="B3" s="1007"/>
      <c r="C3" s="1007"/>
      <c r="D3" s="1007"/>
      <c r="E3" s="1007"/>
      <c r="F3" s="1007"/>
      <c r="G3" s="1007"/>
      <c r="H3" s="1013"/>
      <c r="J3" s="1010"/>
    </row>
    <row r="4" spans="1:13" ht="14.25" customHeight="1">
      <c r="A4" s="1014"/>
      <c r="B4" s="1014"/>
      <c r="C4" s="1014"/>
      <c r="D4" s="1014"/>
      <c r="E4" s="1014"/>
      <c r="F4" s="1014" t="s">
        <v>1056</v>
      </c>
      <c r="G4" s="1014"/>
      <c r="H4" s="1014" t="s">
        <v>1074</v>
      </c>
    </row>
    <row r="5" spans="1:13" ht="12.75" customHeight="1">
      <c r="A5" s="1015"/>
      <c r="B5" s="1015" t="s">
        <v>1075</v>
      </c>
      <c r="C5" s="1398" t="s">
        <v>1076</v>
      </c>
      <c r="D5" s="1398"/>
      <c r="E5" s="1398"/>
      <c r="F5" s="1015" t="s">
        <v>1077</v>
      </c>
      <c r="G5" s="1015" t="s">
        <v>1078</v>
      </c>
      <c r="H5" s="1015" t="s">
        <v>1079</v>
      </c>
    </row>
    <row r="6" spans="1:13">
      <c r="A6" s="1016" t="s">
        <v>23</v>
      </c>
      <c r="B6" s="1016" t="s">
        <v>1080</v>
      </c>
      <c r="C6" s="1016" t="s">
        <v>1081</v>
      </c>
      <c r="D6" s="1016" t="s">
        <v>1082</v>
      </c>
      <c r="E6" s="1016" t="s">
        <v>1083</v>
      </c>
      <c r="F6" s="1016" t="s">
        <v>1084</v>
      </c>
      <c r="G6" s="1016" t="s">
        <v>1056</v>
      </c>
      <c r="H6" s="1016" t="s">
        <v>410</v>
      </c>
    </row>
    <row r="7" spans="1:13" ht="6.75" customHeight="1">
      <c r="A7" s="1015"/>
      <c r="B7" s="1015"/>
      <c r="C7" s="1015"/>
      <c r="D7" s="1015"/>
      <c r="E7" s="1015"/>
      <c r="F7" s="1015"/>
      <c r="G7" s="1015"/>
      <c r="H7" s="1015"/>
    </row>
    <row r="8" spans="1:13" ht="11.25" customHeight="1">
      <c r="A8" s="993" t="s">
        <v>78</v>
      </c>
      <c r="B8" s="1017">
        <v>3660008300</v>
      </c>
      <c r="C8" s="994">
        <v>500195200</v>
      </c>
      <c r="D8" s="994">
        <v>219626700</v>
      </c>
      <c r="E8" s="1017">
        <v>719821900</v>
      </c>
      <c r="F8" s="1017">
        <v>4379830200</v>
      </c>
      <c r="G8" s="1018">
        <v>0.16434927089182591</v>
      </c>
      <c r="H8" s="994">
        <v>4390913.59</v>
      </c>
      <c r="I8" s="996"/>
      <c r="K8" s="996"/>
      <c r="L8" s="996"/>
      <c r="M8" s="996"/>
    </row>
    <row r="9" spans="1:13" ht="11.25" customHeight="1">
      <c r="A9" s="993" t="s">
        <v>80</v>
      </c>
      <c r="B9" s="1019">
        <v>20552760100</v>
      </c>
      <c r="C9" s="999">
        <v>2988860500</v>
      </c>
      <c r="D9" s="999">
        <v>1153380200</v>
      </c>
      <c r="E9" s="1019">
        <v>4142240700</v>
      </c>
      <c r="F9" s="1019">
        <v>24695000800</v>
      </c>
      <c r="G9" s="1018">
        <v>0.16773600185507992</v>
      </c>
      <c r="H9" s="999">
        <v>35374735.577999994</v>
      </c>
      <c r="I9" s="996"/>
      <c r="K9" s="996"/>
      <c r="L9" s="996"/>
      <c r="M9" s="996"/>
    </row>
    <row r="10" spans="1:13" ht="11.25" customHeight="1">
      <c r="A10" s="993" t="s">
        <v>82</v>
      </c>
      <c r="B10" s="1019">
        <v>1121806200</v>
      </c>
      <c r="C10" s="999">
        <v>186611800</v>
      </c>
      <c r="D10" s="999">
        <v>103124800</v>
      </c>
      <c r="E10" s="1019">
        <v>289736600</v>
      </c>
      <c r="F10" s="1019">
        <v>1411542800</v>
      </c>
      <c r="G10" s="1018">
        <v>0.20526235548791011</v>
      </c>
      <c r="H10" s="999">
        <v>2115077.1799999997</v>
      </c>
      <c r="I10" s="996"/>
      <c r="K10" s="996"/>
      <c r="L10" s="996"/>
      <c r="M10" s="996"/>
    </row>
    <row r="11" spans="1:13" ht="11.25" customHeight="1">
      <c r="A11" s="993" t="s">
        <v>84</v>
      </c>
      <c r="B11" s="1019">
        <v>1292925055</v>
      </c>
      <c r="C11" s="999">
        <v>28922100</v>
      </c>
      <c r="D11" s="999">
        <v>54027300</v>
      </c>
      <c r="E11" s="1019">
        <v>82949400</v>
      </c>
      <c r="F11" s="1019">
        <v>1375874455</v>
      </c>
      <c r="G11" s="1018">
        <v>6.028849485398724E-2</v>
      </c>
      <c r="H11" s="999">
        <v>398157.12</v>
      </c>
      <c r="I11" s="996"/>
      <c r="K11" s="996"/>
      <c r="L11" s="996"/>
      <c r="M11" s="996"/>
    </row>
    <row r="12" spans="1:13" ht="11.25" customHeight="1">
      <c r="A12" s="993" t="s">
        <v>86</v>
      </c>
      <c r="B12" s="1019">
        <v>2652114000</v>
      </c>
      <c r="C12" s="999">
        <v>210553000</v>
      </c>
      <c r="D12" s="999">
        <v>348798800</v>
      </c>
      <c r="E12" s="1019">
        <v>559351800</v>
      </c>
      <c r="F12" s="1019">
        <v>3211465800</v>
      </c>
      <c r="G12" s="1018">
        <v>0.17417336345291301</v>
      </c>
      <c r="H12" s="999">
        <v>3412045.9800000004</v>
      </c>
      <c r="I12" s="996"/>
      <c r="K12" s="996"/>
      <c r="L12" s="996"/>
      <c r="M12" s="996"/>
    </row>
    <row r="13" spans="1:13" ht="9" customHeight="1">
      <c r="B13" s="1019"/>
      <c r="C13" s="999"/>
      <c r="D13" s="999"/>
      <c r="E13" s="1019"/>
      <c r="F13" s="1019"/>
      <c r="G13" s="1018"/>
      <c r="H13" s="999"/>
    </row>
    <row r="14" spans="1:13" ht="11.25" customHeight="1">
      <c r="A14" s="993" t="s">
        <v>88</v>
      </c>
      <c r="B14" s="1019">
        <v>1384557000</v>
      </c>
      <c r="C14" s="999">
        <v>139564800</v>
      </c>
      <c r="D14" s="999">
        <v>39838800</v>
      </c>
      <c r="E14" s="1019">
        <v>179403600</v>
      </c>
      <c r="F14" s="1019">
        <v>1563960600</v>
      </c>
      <c r="G14" s="1018">
        <v>0.11471107392347352</v>
      </c>
      <c r="H14" s="999">
        <v>1166123.4000000001</v>
      </c>
      <c r="I14" s="996"/>
      <c r="K14" s="996"/>
      <c r="L14" s="996"/>
      <c r="M14" s="996"/>
    </row>
    <row r="15" spans="1:13" ht="11.25" customHeight="1">
      <c r="A15" s="993" t="s">
        <v>1189</v>
      </c>
      <c r="B15" s="1019">
        <v>77590138200</v>
      </c>
      <c r="C15" s="999">
        <v>7636276600</v>
      </c>
      <c r="D15" s="999">
        <v>1302834300</v>
      </c>
      <c r="E15" s="1019">
        <v>8939110900</v>
      </c>
      <c r="F15" s="1019">
        <v>86529249100</v>
      </c>
      <c r="G15" s="1018">
        <v>0.10330739019437532</v>
      </c>
      <c r="H15" s="999">
        <v>917152.77833999996</v>
      </c>
      <c r="I15" s="996"/>
      <c r="K15" s="996"/>
      <c r="L15" s="996"/>
      <c r="M15" s="996"/>
    </row>
    <row r="16" spans="1:13" ht="11.25" customHeight="1">
      <c r="A16" s="993" t="s">
        <v>92</v>
      </c>
      <c r="B16" s="1019">
        <v>8762829700</v>
      </c>
      <c r="C16" s="999">
        <v>593238100</v>
      </c>
      <c r="D16" s="999">
        <v>790652600</v>
      </c>
      <c r="E16" s="1019">
        <v>1383890700</v>
      </c>
      <c r="F16" s="1019">
        <v>10146720400</v>
      </c>
      <c r="G16" s="1018">
        <v>0.13638798010044703</v>
      </c>
      <c r="H16" s="999">
        <v>8718511.4100000001</v>
      </c>
      <c r="I16" s="996"/>
      <c r="K16" s="996"/>
      <c r="L16" s="996"/>
      <c r="M16" s="996"/>
    </row>
    <row r="17" spans="1:13" ht="11.25" customHeight="1">
      <c r="A17" s="993" t="s">
        <v>94</v>
      </c>
      <c r="B17" s="1019">
        <v>883391700</v>
      </c>
      <c r="C17" s="999">
        <v>249073800</v>
      </c>
      <c r="D17" s="999">
        <v>52096200</v>
      </c>
      <c r="E17" s="1019">
        <v>301170000</v>
      </c>
      <c r="F17" s="1019">
        <v>1184561700</v>
      </c>
      <c r="G17" s="1018">
        <v>0.25424593754803992</v>
      </c>
      <c r="H17" s="999">
        <v>1505850</v>
      </c>
      <c r="I17" s="996"/>
      <c r="K17" s="996"/>
      <c r="L17" s="996"/>
      <c r="M17" s="996"/>
    </row>
    <row r="18" spans="1:13" ht="11.25" customHeight="1">
      <c r="A18" s="993" t="s">
        <v>1060</v>
      </c>
      <c r="B18" s="1019">
        <v>10252923534</v>
      </c>
      <c r="C18" s="999">
        <v>351983500</v>
      </c>
      <c r="D18" s="999">
        <v>472745600</v>
      </c>
      <c r="E18" s="1019">
        <v>824729100</v>
      </c>
      <c r="F18" s="1019">
        <v>11077652634</v>
      </c>
      <c r="G18" s="1018">
        <v>7.4449806944542257E-2</v>
      </c>
      <c r="H18" s="999">
        <v>4123645.5</v>
      </c>
      <c r="I18" s="996"/>
      <c r="K18" s="996"/>
      <c r="L18" s="996"/>
      <c r="M18" s="996"/>
    </row>
    <row r="19" spans="1:13" ht="9" customHeight="1">
      <c r="B19" s="1019"/>
      <c r="C19" s="1019"/>
      <c r="D19" s="1019"/>
      <c r="E19" s="1019"/>
      <c r="F19" s="1019"/>
      <c r="G19" s="1018"/>
      <c r="H19" s="1019"/>
    </row>
    <row r="20" spans="1:13" ht="11.25" customHeight="1">
      <c r="A20" s="993" t="s">
        <v>97</v>
      </c>
      <c r="B20" s="1019">
        <v>609548100</v>
      </c>
      <c r="C20" s="999">
        <v>138882800</v>
      </c>
      <c r="D20" s="999">
        <v>29195300</v>
      </c>
      <c r="E20" s="1019">
        <v>168078100</v>
      </c>
      <c r="F20" s="1019">
        <v>777626200</v>
      </c>
      <c r="G20" s="1018">
        <v>0.21614253737849881</v>
      </c>
      <c r="H20" s="999">
        <v>1008468.5999999999</v>
      </c>
      <c r="I20" s="996"/>
      <c r="K20" s="996"/>
      <c r="L20" s="996"/>
      <c r="M20" s="996"/>
    </row>
    <row r="21" spans="1:13" ht="11.25" customHeight="1">
      <c r="A21" s="993" t="s">
        <v>99</v>
      </c>
      <c r="B21" s="1019">
        <v>3768484703</v>
      </c>
      <c r="C21" s="999">
        <v>203236000</v>
      </c>
      <c r="D21" s="999">
        <v>177158400</v>
      </c>
      <c r="E21" s="1019">
        <v>380394400</v>
      </c>
      <c r="F21" s="1019">
        <v>4148879103</v>
      </c>
      <c r="G21" s="1018">
        <v>9.1686065213358911E-2</v>
      </c>
      <c r="H21" s="999">
        <v>3005115.7600000002</v>
      </c>
      <c r="I21" s="996"/>
      <c r="K21" s="996"/>
      <c r="L21" s="996"/>
      <c r="M21" s="996"/>
    </row>
    <row r="22" spans="1:13" ht="11.25" customHeight="1">
      <c r="A22" s="993" t="s">
        <v>101</v>
      </c>
      <c r="B22" s="1019">
        <v>1304304560</v>
      </c>
      <c r="C22" s="999">
        <v>191567800</v>
      </c>
      <c r="D22" s="999">
        <v>44943300</v>
      </c>
      <c r="E22" s="1019">
        <v>236511100</v>
      </c>
      <c r="F22" s="1019">
        <v>1540815660</v>
      </c>
      <c r="G22" s="1018">
        <v>0.15349733659898032</v>
      </c>
      <c r="H22" s="999">
        <v>1253508.83</v>
      </c>
      <c r="I22" s="996"/>
      <c r="K22" s="996"/>
      <c r="L22" s="996"/>
      <c r="M22" s="996"/>
    </row>
    <row r="23" spans="1:13" ht="11.25" customHeight="1">
      <c r="A23" s="993" t="s">
        <v>103</v>
      </c>
      <c r="B23" s="1019">
        <v>2242165547</v>
      </c>
      <c r="C23" s="999">
        <v>423321892</v>
      </c>
      <c r="D23" s="999">
        <v>120322771</v>
      </c>
      <c r="E23" s="1019">
        <v>543644663</v>
      </c>
      <c r="F23" s="1019">
        <v>2785810210</v>
      </c>
      <c r="G23" s="1018">
        <v>0.19514777462173205</v>
      </c>
      <c r="H23" s="999">
        <v>2120214.1857000003</v>
      </c>
      <c r="I23" s="996"/>
      <c r="K23" s="996"/>
      <c r="L23" s="996"/>
      <c r="M23" s="996"/>
    </row>
    <row r="24" spans="1:13" ht="11.25" customHeight="1">
      <c r="A24" s="993" t="s">
        <v>105</v>
      </c>
      <c r="B24" s="1019">
        <v>1436922800</v>
      </c>
      <c r="C24" s="999">
        <v>229344100</v>
      </c>
      <c r="D24" s="999">
        <v>107341300</v>
      </c>
      <c r="E24" s="1019">
        <v>336685400</v>
      </c>
      <c r="F24" s="1019">
        <v>1773608200</v>
      </c>
      <c r="G24" s="1018">
        <v>0.18983076420147357</v>
      </c>
      <c r="H24" s="999">
        <v>1851769.7000000002</v>
      </c>
      <c r="I24" s="996"/>
      <c r="K24" s="996"/>
      <c r="L24" s="996"/>
      <c r="M24" s="996"/>
    </row>
    <row r="25" spans="1:13" ht="9" customHeight="1">
      <c r="B25" s="1019"/>
      <c r="C25" s="999"/>
      <c r="D25" s="999"/>
      <c r="E25" s="1019"/>
      <c r="F25" s="1019"/>
      <c r="G25" s="1018"/>
      <c r="H25" s="999"/>
    </row>
    <row r="26" spans="1:13" ht="11.25" customHeight="1">
      <c r="A26" s="993" t="s">
        <v>107</v>
      </c>
      <c r="B26" s="1019">
        <v>4388367457</v>
      </c>
      <c r="C26" s="999">
        <v>126791400</v>
      </c>
      <c r="D26" s="999">
        <v>311586600</v>
      </c>
      <c r="E26" s="1019">
        <v>438378000</v>
      </c>
      <c r="F26" s="1019">
        <v>4826745457</v>
      </c>
      <c r="G26" s="1018">
        <v>9.0822688684409736E-2</v>
      </c>
      <c r="H26" s="999">
        <v>2279565.6</v>
      </c>
      <c r="I26" s="996"/>
      <c r="K26" s="996"/>
      <c r="L26" s="996"/>
      <c r="M26" s="996"/>
    </row>
    <row r="27" spans="1:13" ht="11.25" customHeight="1">
      <c r="A27" s="993" t="s">
        <v>109</v>
      </c>
      <c r="B27" s="1019">
        <v>2855908212</v>
      </c>
      <c r="C27" s="999">
        <v>450046600</v>
      </c>
      <c r="D27" s="999">
        <v>180895100</v>
      </c>
      <c r="E27" s="1019">
        <v>630941700</v>
      </c>
      <c r="F27" s="1019">
        <v>3486849912</v>
      </c>
      <c r="G27" s="1018">
        <v>0.18094891260693874</v>
      </c>
      <c r="H27" s="999">
        <v>5236816.1099999994</v>
      </c>
      <c r="I27" s="996"/>
      <c r="K27" s="996"/>
      <c r="L27" s="996"/>
      <c r="M27" s="996"/>
    </row>
    <row r="28" spans="1:13" ht="11.25" customHeight="1">
      <c r="A28" s="993" t="s">
        <v>111</v>
      </c>
      <c r="B28" s="1019">
        <v>2349926800</v>
      </c>
      <c r="C28" s="999">
        <v>154633700</v>
      </c>
      <c r="D28" s="999">
        <v>72553000</v>
      </c>
      <c r="E28" s="1019">
        <v>227186700</v>
      </c>
      <c r="F28" s="1019">
        <v>2577113500</v>
      </c>
      <c r="G28" s="1018">
        <v>8.8155488689186559E-2</v>
      </c>
      <c r="H28" s="999">
        <v>1578947.5649999999</v>
      </c>
      <c r="I28" s="996"/>
      <c r="K28" s="996"/>
      <c r="L28" s="996"/>
      <c r="M28" s="996"/>
    </row>
    <row r="29" spans="1:13" ht="11.25" customHeight="1">
      <c r="A29" s="993" t="s">
        <v>113</v>
      </c>
      <c r="B29" s="1019">
        <v>853256680</v>
      </c>
      <c r="C29" s="999">
        <v>65163200</v>
      </c>
      <c r="D29" s="999">
        <v>16106000</v>
      </c>
      <c r="E29" s="1019">
        <v>81269200</v>
      </c>
      <c r="F29" s="1019">
        <v>934525880</v>
      </c>
      <c r="G29" s="1018">
        <v>8.6963027711977323E-2</v>
      </c>
      <c r="H29" s="999">
        <v>617645.92000000004</v>
      </c>
      <c r="I29" s="996"/>
      <c r="K29" s="996"/>
      <c r="L29" s="996"/>
      <c r="M29" s="996"/>
    </row>
    <row r="30" spans="1:13" ht="11.25" customHeight="1">
      <c r="A30" s="993" t="s">
        <v>115</v>
      </c>
      <c r="B30" s="1019">
        <v>1009959823</v>
      </c>
      <c r="C30" s="999">
        <v>29985904</v>
      </c>
      <c r="D30" s="999">
        <v>60032520</v>
      </c>
      <c r="E30" s="1019">
        <v>90018424</v>
      </c>
      <c r="F30" s="1019">
        <v>1099978247</v>
      </c>
      <c r="G30" s="1018">
        <v>8.1836549264051039E-2</v>
      </c>
      <c r="H30" s="999">
        <v>558114.22879999992</v>
      </c>
      <c r="I30" s="996"/>
      <c r="K30" s="996"/>
      <c r="L30" s="996"/>
      <c r="M30" s="996"/>
    </row>
    <row r="31" spans="1:13" ht="9" customHeight="1">
      <c r="B31" s="1019"/>
      <c r="C31" s="999"/>
      <c r="D31" s="999"/>
      <c r="E31" s="1019"/>
      <c r="F31" s="1019"/>
      <c r="G31" s="1018"/>
      <c r="H31" s="999"/>
    </row>
    <row r="32" spans="1:13" ht="11.25" customHeight="1">
      <c r="A32" s="993" t="s">
        <v>117</v>
      </c>
      <c r="B32" s="1019">
        <v>39063880200</v>
      </c>
      <c r="C32" s="999">
        <v>2457073200</v>
      </c>
      <c r="D32" s="999">
        <v>609605600</v>
      </c>
      <c r="E32" s="1019">
        <v>3066678800</v>
      </c>
      <c r="F32" s="1019">
        <v>42130559000</v>
      </c>
      <c r="G32" s="1018">
        <v>7.2789891062209733E-2</v>
      </c>
      <c r="H32" s="999">
        <v>29133448.599999998</v>
      </c>
      <c r="I32" s="996"/>
      <c r="K32" s="996"/>
      <c r="L32" s="996"/>
      <c r="M32" s="996"/>
    </row>
    <row r="33" spans="1:13" ht="11.25" customHeight="1">
      <c r="A33" s="993" t="s">
        <v>119</v>
      </c>
      <c r="B33" s="1019">
        <v>2406963400</v>
      </c>
      <c r="C33" s="999">
        <v>69034900</v>
      </c>
      <c r="D33" s="999">
        <v>118037000</v>
      </c>
      <c r="E33" s="1019">
        <v>187071900</v>
      </c>
      <c r="F33" s="1019">
        <v>2594035300</v>
      </c>
      <c r="G33" s="1018">
        <v>7.2116173592549029E-2</v>
      </c>
      <c r="H33" s="999">
        <v>1328210.49</v>
      </c>
      <c r="I33" s="996"/>
      <c r="K33" s="996"/>
      <c r="L33" s="996"/>
      <c r="M33" s="996"/>
    </row>
    <row r="34" spans="1:13" ht="11.25" customHeight="1">
      <c r="A34" s="993" t="s">
        <v>121</v>
      </c>
      <c r="B34" s="1019">
        <v>515130200</v>
      </c>
      <c r="C34" s="999">
        <v>94860100</v>
      </c>
      <c r="D34" s="999">
        <v>31898800</v>
      </c>
      <c r="E34" s="1019">
        <v>126758900</v>
      </c>
      <c r="F34" s="1019">
        <v>641889100</v>
      </c>
      <c r="G34" s="1018">
        <v>0.19747788208274608</v>
      </c>
      <c r="H34" s="999">
        <v>747877.51</v>
      </c>
      <c r="I34" s="996"/>
      <c r="K34" s="996"/>
      <c r="L34" s="996"/>
      <c r="M34" s="996"/>
    </row>
    <row r="35" spans="1:13" ht="11.25" customHeight="1">
      <c r="A35" s="993" t="s">
        <v>123</v>
      </c>
      <c r="B35" s="1019">
        <v>6119583418</v>
      </c>
      <c r="C35" s="999">
        <v>230303900</v>
      </c>
      <c r="D35" s="999">
        <v>284135000</v>
      </c>
      <c r="E35" s="1019">
        <v>514438900</v>
      </c>
      <c r="F35" s="1019">
        <v>6634022318</v>
      </c>
      <c r="G35" s="1018">
        <v>7.7545548588852362E-2</v>
      </c>
      <c r="H35" s="999">
        <v>3189521.1799999997</v>
      </c>
      <c r="I35" s="996"/>
      <c r="K35" s="996"/>
      <c r="L35" s="996"/>
      <c r="M35" s="996"/>
    </row>
    <row r="36" spans="1:13" ht="11.25" customHeight="1">
      <c r="A36" s="993" t="s">
        <v>125</v>
      </c>
      <c r="B36" s="1019">
        <v>863436935</v>
      </c>
      <c r="C36" s="999">
        <v>49799200</v>
      </c>
      <c r="D36" s="999">
        <v>75142200</v>
      </c>
      <c r="E36" s="1019">
        <v>124941400</v>
      </c>
      <c r="F36" s="1019">
        <v>988378335</v>
      </c>
      <c r="G36" s="1018">
        <v>0.12641050048916744</v>
      </c>
      <c r="H36" s="999">
        <v>974542.92</v>
      </c>
      <c r="I36" s="996"/>
      <c r="K36" s="996"/>
      <c r="L36" s="996"/>
      <c r="M36" s="996"/>
    </row>
    <row r="37" spans="1:13" ht="9" customHeight="1">
      <c r="B37" s="1019"/>
      <c r="C37" s="999"/>
      <c r="D37" s="999"/>
      <c r="E37" s="1019"/>
      <c r="F37" s="1019"/>
      <c r="G37" s="1018"/>
      <c r="H37" s="999"/>
    </row>
    <row r="38" spans="1:13" ht="11.25" customHeight="1">
      <c r="A38" s="993" t="s">
        <v>127</v>
      </c>
      <c r="B38" s="1019">
        <v>1292727200</v>
      </c>
      <c r="C38" s="999">
        <v>164745900</v>
      </c>
      <c r="D38" s="999">
        <v>47200600</v>
      </c>
      <c r="E38" s="1019">
        <v>211946500</v>
      </c>
      <c r="F38" s="1019">
        <v>1504673700</v>
      </c>
      <c r="G38" s="1018">
        <v>0.14085877888342171</v>
      </c>
      <c r="H38" s="999">
        <v>1271679</v>
      </c>
      <c r="I38" s="996"/>
      <c r="K38" s="996"/>
      <c r="L38" s="996"/>
      <c r="M38" s="996"/>
    </row>
    <row r="39" spans="1:13" ht="11.25" customHeight="1">
      <c r="A39" s="993" t="s">
        <v>129</v>
      </c>
      <c r="B39" s="1019">
        <v>2763388613</v>
      </c>
      <c r="C39" s="999">
        <v>221005600</v>
      </c>
      <c r="D39" s="999">
        <v>177018600</v>
      </c>
      <c r="E39" s="1019">
        <v>398024200</v>
      </c>
      <c r="F39" s="1019">
        <v>3161412813</v>
      </c>
      <c r="G39" s="1018">
        <v>0.12590073601375007</v>
      </c>
      <c r="H39" s="999">
        <v>3144391.18</v>
      </c>
      <c r="I39" s="996"/>
      <c r="K39" s="996"/>
      <c r="L39" s="996"/>
      <c r="M39" s="996"/>
    </row>
    <row r="40" spans="1:13" ht="11.25" customHeight="1">
      <c r="A40" s="993" t="s">
        <v>131</v>
      </c>
      <c r="B40" s="1019">
        <v>1390992000</v>
      </c>
      <c r="C40" s="999">
        <v>27043300</v>
      </c>
      <c r="D40" s="999">
        <v>71550500</v>
      </c>
      <c r="E40" s="1019">
        <v>98593800</v>
      </c>
      <c r="F40" s="1019">
        <v>1489585800</v>
      </c>
      <c r="G40" s="1018">
        <v>6.6188735150402217E-2</v>
      </c>
      <c r="H40" s="999">
        <v>867625.44000000006</v>
      </c>
      <c r="I40" s="996"/>
      <c r="K40" s="996"/>
      <c r="L40" s="996"/>
      <c r="M40" s="996"/>
    </row>
    <row r="41" spans="1:13" ht="11.25" customHeight="1">
      <c r="A41" s="993" t="s">
        <v>133</v>
      </c>
      <c r="B41" s="1019">
        <v>255352668383</v>
      </c>
      <c r="C41" s="999">
        <v>14733597260</v>
      </c>
      <c r="D41" s="999">
        <v>4215231250</v>
      </c>
      <c r="E41" s="1019">
        <v>18948828510</v>
      </c>
      <c r="F41" s="1019">
        <v>274301496893</v>
      </c>
      <c r="G41" s="1018">
        <v>6.9080295676955755E-2</v>
      </c>
      <c r="H41" s="999">
        <v>217911527.86499998</v>
      </c>
      <c r="I41" s="996"/>
      <c r="K41" s="996"/>
      <c r="L41" s="996"/>
      <c r="M41" s="996"/>
    </row>
    <row r="42" spans="1:13" ht="11.25" customHeight="1">
      <c r="A42" s="993" t="s">
        <v>135</v>
      </c>
      <c r="B42" s="1019">
        <v>13425985500</v>
      </c>
      <c r="C42" s="999">
        <v>666818800</v>
      </c>
      <c r="D42" s="999">
        <v>279986300</v>
      </c>
      <c r="E42" s="1019">
        <v>946805100</v>
      </c>
      <c r="F42" s="1019">
        <v>14372790600</v>
      </c>
      <c r="G42" s="1018">
        <v>6.5874827397819316E-2</v>
      </c>
      <c r="H42" s="999">
        <v>9411242.6940000001</v>
      </c>
      <c r="I42" s="996"/>
      <c r="K42" s="996"/>
      <c r="L42" s="996"/>
      <c r="M42" s="996"/>
    </row>
    <row r="43" spans="1:13" ht="15">
      <c r="A43" s="992" t="s">
        <v>1085</v>
      </c>
      <c r="B43" s="1006"/>
      <c r="C43" s="1006"/>
      <c r="D43" s="1006"/>
      <c r="E43" s="1006"/>
      <c r="F43" s="1006"/>
      <c r="G43" s="1006"/>
      <c r="H43" s="1006"/>
    </row>
    <row r="44" spans="1:13" s="1020" customFormat="1" ht="12.75">
      <c r="A44" s="1397" t="str">
        <f>A2</f>
        <v>Comparison of Tax Exempt Value to Total Fair Market Value (FMV) of Real Estate by Locality - Tax Year 2019</v>
      </c>
      <c r="B44" s="1397"/>
      <c r="C44" s="1397"/>
      <c r="D44" s="1397"/>
      <c r="E44" s="1397"/>
      <c r="F44" s="1397"/>
      <c r="G44" s="1397"/>
      <c r="H44" s="1397"/>
      <c r="J44" s="1021"/>
    </row>
    <row r="45" spans="1:13" ht="7.5" customHeight="1" thickBot="1">
      <c r="A45" s="1007"/>
      <c r="B45" s="1007"/>
      <c r="C45" s="1007"/>
      <c r="D45" s="1007"/>
      <c r="E45" s="1007"/>
      <c r="F45" s="1007"/>
      <c r="G45" s="1007"/>
      <c r="H45" s="1007"/>
    </row>
    <row r="46" spans="1:13" ht="14.25" customHeight="1">
      <c r="A46" s="1014"/>
      <c r="B46" s="1014"/>
      <c r="C46" s="1014"/>
      <c r="D46" s="1014"/>
      <c r="E46" s="1014"/>
      <c r="F46" s="1014" t="s">
        <v>1056</v>
      </c>
      <c r="G46" s="1014"/>
      <c r="H46" s="1014" t="s">
        <v>1074</v>
      </c>
    </row>
    <row r="47" spans="1:13" ht="12.75" customHeight="1">
      <c r="A47" s="1015"/>
      <c r="B47" s="1015" t="s">
        <v>1075</v>
      </c>
      <c r="C47" s="1398" t="s">
        <v>1076</v>
      </c>
      <c r="D47" s="1398"/>
      <c r="E47" s="1398"/>
      <c r="F47" s="1015" t="s">
        <v>1077</v>
      </c>
      <c r="G47" s="1015" t="s">
        <v>1078</v>
      </c>
      <c r="H47" s="1015" t="s">
        <v>1079</v>
      </c>
    </row>
    <row r="48" spans="1:13">
      <c r="A48" s="1016" t="s">
        <v>23</v>
      </c>
      <c r="B48" s="1016" t="s">
        <v>1080</v>
      </c>
      <c r="C48" s="1016" t="s">
        <v>1081</v>
      </c>
      <c r="D48" s="1016" t="s">
        <v>1082</v>
      </c>
      <c r="E48" s="1016" t="s">
        <v>1083</v>
      </c>
      <c r="F48" s="1016" t="s">
        <v>1084</v>
      </c>
      <c r="G48" s="1016" t="s">
        <v>1056</v>
      </c>
      <c r="H48" s="1016" t="s">
        <v>410</v>
      </c>
    </row>
    <row r="49" spans="1:13" ht="9" customHeight="1"/>
    <row r="50" spans="1:13" ht="11.25" customHeight="1">
      <c r="A50" s="993" t="s">
        <v>137</v>
      </c>
      <c r="B50" s="1017">
        <v>1791404700</v>
      </c>
      <c r="C50" s="994">
        <v>94856600</v>
      </c>
      <c r="D50" s="994">
        <v>30500900</v>
      </c>
      <c r="E50" s="1017">
        <v>125357500</v>
      </c>
      <c r="F50" s="1017">
        <v>1916762200</v>
      </c>
      <c r="G50" s="1018">
        <v>6.5400653247439877E-2</v>
      </c>
      <c r="H50" s="994">
        <v>752145</v>
      </c>
      <c r="I50" s="996"/>
      <c r="K50" s="996"/>
      <c r="L50" s="996"/>
      <c r="M50" s="996"/>
    </row>
    <row r="51" spans="1:13" ht="11.25" customHeight="1">
      <c r="A51" s="993" t="s">
        <v>139</v>
      </c>
      <c r="B51" s="1019">
        <v>2969880502</v>
      </c>
      <c r="C51" s="999">
        <v>156163600</v>
      </c>
      <c r="D51" s="999">
        <v>158906600</v>
      </c>
      <c r="E51" s="1019">
        <v>315070200</v>
      </c>
      <c r="F51" s="1019">
        <v>3284950702</v>
      </c>
      <c r="G51" s="1018">
        <v>9.5913220191759213E-2</v>
      </c>
      <c r="H51" s="999">
        <v>2914399.35</v>
      </c>
      <c r="I51" s="996"/>
      <c r="K51" s="996"/>
      <c r="L51" s="996"/>
      <c r="M51" s="996"/>
    </row>
    <row r="52" spans="1:13" ht="11.25" customHeight="1">
      <c r="A52" s="993" t="s">
        <v>26</v>
      </c>
      <c r="B52" s="1019">
        <v>7152725800</v>
      </c>
      <c r="C52" s="999">
        <v>108486200</v>
      </c>
      <c r="D52" s="999">
        <v>402424200</v>
      </c>
      <c r="E52" s="1019">
        <v>510910400</v>
      </c>
      <c r="F52" s="1019">
        <v>7663636200</v>
      </c>
      <c r="G52" s="1018">
        <v>6.666683890866322E-2</v>
      </c>
      <c r="H52" s="999">
        <v>31165.534400000004</v>
      </c>
      <c r="I52" s="996"/>
      <c r="K52" s="996"/>
      <c r="L52" s="996"/>
      <c r="M52" s="996"/>
    </row>
    <row r="53" spans="1:13" ht="11.25" customHeight="1">
      <c r="A53" s="993" t="s">
        <v>142</v>
      </c>
      <c r="B53" s="1019">
        <v>10954173175</v>
      </c>
      <c r="C53" s="999">
        <v>201482600</v>
      </c>
      <c r="D53" s="999">
        <v>963126500</v>
      </c>
      <c r="E53" s="1019">
        <v>1164609100</v>
      </c>
      <c r="F53" s="1019">
        <v>12118782275</v>
      </c>
      <c r="G53" s="1018">
        <v>9.6099515081023268E-2</v>
      </c>
      <c r="H53" s="999">
        <v>7104115.5099999998</v>
      </c>
      <c r="I53" s="996"/>
      <c r="K53" s="996"/>
      <c r="L53" s="996"/>
      <c r="M53" s="996"/>
    </row>
    <row r="54" spans="1:13" ht="11.25" customHeight="1">
      <c r="A54" s="993" t="s">
        <v>144</v>
      </c>
      <c r="B54" s="1019">
        <v>1208803700</v>
      </c>
      <c r="C54" s="999">
        <v>71976500</v>
      </c>
      <c r="D54" s="999">
        <v>72023600</v>
      </c>
      <c r="E54" s="1019">
        <v>144000100</v>
      </c>
      <c r="F54" s="1019">
        <v>1352803800</v>
      </c>
      <c r="G54" s="1018">
        <v>0.10644566492199387</v>
      </c>
      <c r="H54" s="999">
        <v>964800.67000000016</v>
      </c>
      <c r="I54" s="996"/>
      <c r="K54" s="996"/>
      <c r="L54" s="996"/>
      <c r="M54" s="996"/>
    </row>
    <row r="55" spans="1:13" ht="9" customHeight="1">
      <c r="B55" s="1019"/>
      <c r="C55" s="999"/>
      <c r="D55" s="999"/>
      <c r="E55" s="1019"/>
      <c r="F55" s="1019"/>
      <c r="G55" s="1018"/>
      <c r="H55" s="999"/>
    </row>
    <row r="56" spans="1:13" ht="11.25" customHeight="1">
      <c r="A56" s="993" t="s">
        <v>79</v>
      </c>
      <c r="B56" s="1019">
        <v>4488767686</v>
      </c>
      <c r="C56" s="999">
        <v>231336808</v>
      </c>
      <c r="D56" s="999">
        <v>161004780</v>
      </c>
      <c r="E56" s="1019">
        <v>392341588</v>
      </c>
      <c r="F56" s="1019">
        <v>4881109274</v>
      </c>
      <c r="G56" s="1018">
        <v>8.0379595287872266E-2</v>
      </c>
      <c r="H56" s="999">
        <v>2726774.0365999998</v>
      </c>
      <c r="I56" s="996"/>
      <c r="K56" s="996"/>
      <c r="L56" s="996"/>
      <c r="M56" s="996"/>
    </row>
    <row r="57" spans="1:13" ht="11.25" customHeight="1">
      <c r="A57" s="993" t="s">
        <v>81</v>
      </c>
      <c r="B57" s="1019">
        <v>5906644700</v>
      </c>
      <c r="C57" s="999">
        <v>158635400</v>
      </c>
      <c r="D57" s="999">
        <v>121415300</v>
      </c>
      <c r="E57" s="1019">
        <v>280050700</v>
      </c>
      <c r="F57" s="1019">
        <v>6186695400</v>
      </c>
      <c r="G57" s="1018">
        <v>4.526660549669214E-2</v>
      </c>
      <c r="H57" s="999">
        <v>1484268.71</v>
      </c>
      <c r="I57" s="996"/>
      <c r="K57" s="996"/>
      <c r="L57" s="996"/>
      <c r="M57" s="996"/>
    </row>
    <row r="58" spans="1:13" ht="11.25" customHeight="1">
      <c r="A58" s="993" t="s">
        <v>83</v>
      </c>
      <c r="B58" s="1019">
        <v>1668133900</v>
      </c>
      <c r="C58" s="999">
        <v>129139100</v>
      </c>
      <c r="D58" s="999">
        <v>102777300</v>
      </c>
      <c r="E58" s="1019">
        <v>231916400</v>
      </c>
      <c r="F58" s="1019">
        <v>1900050300</v>
      </c>
      <c r="G58" s="1018">
        <v>0.12205803183210466</v>
      </c>
      <c r="H58" s="999">
        <v>1298731.8400000001</v>
      </c>
      <c r="I58" s="996"/>
      <c r="K58" s="996"/>
      <c r="L58" s="996"/>
      <c r="M58" s="996"/>
    </row>
    <row r="59" spans="1:13" ht="11.25" customHeight="1">
      <c r="A59" s="993" t="s">
        <v>85</v>
      </c>
      <c r="B59" s="1019">
        <v>2314491649</v>
      </c>
      <c r="C59" s="999">
        <v>131717000</v>
      </c>
      <c r="D59" s="999">
        <v>122281900</v>
      </c>
      <c r="E59" s="1019">
        <v>253998900</v>
      </c>
      <c r="F59" s="1019">
        <v>2568490549</v>
      </c>
      <c r="G59" s="1018">
        <v>9.8890338568265457E-2</v>
      </c>
      <c r="H59" s="999">
        <v>2082790.98</v>
      </c>
      <c r="I59" s="996"/>
      <c r="K59" s="996"/>
      <c r="L59" s="996"/>
      <c r="M59" s="996"/>
    </row>
    <row r="60" spans="1:13" ht="11.25" customHeight="1">
      <c r="A60" s="997" t="s">
        <v>87</v>
      </c>
      <c r="B60" s="1022">
        <v>636966910</v>
      </c>
      <c r="C60" s="999">
        <v>161228100</v>
      </c>
      <c r="D60" s="999">
        <v>30515700</v>
      </c>
      <c r="E60" s="1022">
        <v>191743800</v>
      </c>
      <c r="F60" s="1022">
        <v>828710710</v>
      </c>
      <c r="G60" s="1023">
        <v>0.23137603712156682</v>
      </c>
      <c r="H60" s="999">
        <v>1284683.46</v>
      </c>
      <c r="I60" s="996"/>
      <c r="K60" s="996"/>
      <c r="L60" s="996"/>
      <c r="M60" s="996"/>
    </row>
    <row r="61" spans="1:13" ht="8.25" customHeight="1">
      <c r="B61" s="993">
        <v>0</v>
      </c>
    </row>
    <row r="62" spans="1:13">
      <c r="A62" s="993" t="s">
        <v>423</v>
      </c>
      <c r="B62" s="1019">
        <v>2689744036</v>
      </c>
      <c r="C62" s="999">
        <v>156625676</v>
      </c>
      <c r="D62" s="999">
        <v>259920827</v>
      </c>
      <c r="E62" s="1019">
        <v>416546503</v>
      </c>
      <c r="F62" s="1019">
        <v>3106290539</v>
      </c>
      <c r="G62" s="1018">
        <v>0.13409772774638709</v>
      </c>
      <c r="H62" s="999">
        <v>2082732.5150000001</v>
      </c>
      <c r="I62" s="996"/>
      <c r="K62" s="996"/>
      <c r="L62" s="996"/>
      <c r="M62" s="996"/>
    </row>
    <row r="63" spans="1:13">
      <c r="A63" s="993" t="s">
        <v>91</v>
      </c>
      <c r="B63" s="1019">
        <v>15841039810</v>
      </c>
      <c r="C63" s="999">
        <v>1141645401</v>
      </c>
      <c r="D63" s="999">
        <v>419159100</v>
      </c>
      <c r="E63" s="1019">
        <v>1560804501</v>
      </c>
      <c r="F63" s="1019">
        <v>17401844311</v>
      </c>
      <c r="G63" s="1018">
        <v>8.9691901220687806E-2</v>
      </c>
      <c r="H63" s="999">
        <v>12642516.4581</v>
      </c>
      <c r="I63" s="996"/>
      <c r="K63" s="996"/>
      <c r="L63" s="996"/>
      <c r="M63" s="996"/>
    </row>
    <row r="64" spans="1:13">
      <c r="A64" s="993" t="s">
        <v>93</v>
      </c>
      <c r="B64" s="1019">
        <v>40391059400</v>
      </c>
      <c r="C64" s="999">
        <v>2340973100</v>
      </c>
      <c r="D64" s="999">
        <v>1617720800</v>
      </c>
      <c r="E64" s="1019">
        <v>3958693900</v>
      </c>
      <c r="F64" s="1019">
        <v>44349753300</v>
      </c>
      <c r="G64" s="1018">
        <v>8.9260787387514057E-2</v>
      </c>
      <c r="H64" s="999">
        <v>34440636.93</v>
      </c>
      <c r="I64" s="996"/>
      <c r="K64" s="996"/>
      <c r="L64" s="996"/>
      <c r="M64" s="996"/>
    </row>
    <row r="65" spans="1:13">
      <c r="A65" s="993" t="s">
        <v>95</v>
      </c>
      <c r="B65" s="1019">
        <v>2946641700</v>
      </c>
      <c r="C65" s="999">
        <v>203216400</v>
      </c>
      <c r="D65" s="999">
        <v>376550400</v>
      </c>
      <c r="E65" s="1019">
        <v>579766800</v>
      </c>
      <c r="F65" s="1019">
        <v>3526408500</v>
      </c>
      <c r="G65" s="1018">
        <v>0.16440715816105819</v>
      </c>
      <c r="H65" s="999">
        <v>3217705.74</v>
      </c>
      <c r="I65" s="996"/>
      <c r="K65" s="996"/>
      <c r="L65" s="996"/>
      <c r="M65" s="996"/>
    </row>
    <row r="66" spans="1:13">
      <c r="A66" s="993" t="s">
        <v>96</v>
      </c>
      <c r="B66" s="1019">
        <v>674154200</v>
      </c>
      <c r="C66" s="999">
        <v>61015400</v>
      </c>
      <c r="D66" s="999">
        <v>22213400</v>
      </c>
      <c r="E66" s="1019">
        <v>83228800</v>
      </c>
      <c r="F66" s="1019">
        <v>757383000</v>
      </c>
      <c r="G66" s="1018">
        <v>0.10988997640559664</v>
      </c>
      <c r="H66" s="999">
        <v>399498.23999999999</v>
      </c>
      <c r="I66" s="996"/>
      <c r="K66" s="996"/>
      <c r="L66" s="996"/>
      <c r="M66" s="996"/>
    </row>
    <row r="67" spans="1:13" ht="9" customHeight="1">
      <c r="B67" s="1019"/>
      <c r="C67" s="999"/>
      <c r="D67" s="999"/>
      <c r="E67" s="1019"/>
      <c r="F67" s="1019"/>
      <c r="G67" s="1018"/>
      <c r="H67" s="999"/>
    </row>
    <row r="68" spans="1:13">
      <c r="A68" s="993" t="s">
        <v>98</v>
      </c>
      <c r="B68" s="1019">
        <v>5007174280</v>
      </c>
      <c r="C68" s="999">
        <v>113202600</v>
      </c>
      <c r="D68" s="999">
        <v>228685400</v>
      </c>
      <c r="E68" s="1019">
        <v>341888000</v>
      </c>
      <c r="F68" s="1019">
        <v>5349062280</v>
      </c>
      <c r="G68" s="1018">
        <v>6.3915501840072053E-2</v>
      </c>
      <c r="H68" s="999">
        <v>2904555.83</v>
      </c>
      <c r="I68" s="996"/>
      <c r="K68" s="996"/>
      <c r="L68" s="996"/>
      <c r="M68" s="996"/>
    </row>
    <row r="69" spans="1:13">
      <c r="A69" s="993" t="s">
        <v>1188</v>
      </c>
      <c r="B69" s="1019">
        <v>12218758700</v>
      </c>
      <c r="C69" s="999">
        <v>594950800</v>
      </c>
      <c r="D69" s="999">
        <v>160212800</v>
      </c>
      <c r="E69" s="1019">
        <v>755163600</v>
      </c>
      <c r="F69" s="1019">
        <v>12973922300</v>
      </c>
      <c r="G69" s="1018">
        <v>5.8206268122940739E-2</v>
      </c>
      <c r="H69" s="999">
        <v>6343374.2400000002</v>
      </c>
      <c r="I69" s="996"/>
      <c r="K69" s="996"/>
      <c r="L69" s="996"/>
      <c r="M69" s="996"/>
    </row>
    <row r="70" spans="1:13">
      <c r="A70" s="993" t="s">
        <v>102</v>
      </c>
      <c r="B70" s="1019">
        <v>902427400</v>
      </c>
      <c r="C70" s="999">
        <v>25542100</v>
      </c>
      <c r="D70" s="999">
        <v>44540400</v>
      </c>
      <c r="E70" s="1019">
        <v>70082500</v>
      </c>
      <c r="F70" s="1019">
        <v>972509900</v>
      </c>
      <c r="G70" s="1018">
        <v>7.2063533749116587E-2</v>
      </c>
      <c r="H70" s="999">
        <v>371437.25</v>
      </c>
      <c r="I70" s="996"/>
      <c r="K70" s="996"/>
      <c r="L70" s="996"/>
      <c r="M70" s="996"/>
    </row>
    <row r="71" spans="1:13">
      <c r="A71" s="993" t="s">
        <v>104</v>
      </c>
      <c r="B71" s="1019">
        <v>2973689239</v>
      </c>
      <c r="C71" s="999">
        <v>1222841100</v>
      </c>
      <c r="D71" s="999">
        <v>62334300</v>
      </c>
      <c r="E71" s="1019">
        <v>1285175400</v>
      </c>
      <c r="F71" s="1019">
        <v>4258864639</v>
      </c>
      <c r="G71" s="1018">
        <v>0.30176479154354263</v>
      </c>
      <c r="H71" s="999">
        <v>0</v>
      </c>
      <c r="I71" s="996"/>
      <c r="K71" s="996"/>
      <c r="L71" s="996"/>
      <c r="M71" s="996"/>
    </row>
    <row r="72" spans="1:13" ht="12" customHeight="1">
      <c r="A72" s="993" t="s">
        <v>459</v>
      </c>
      <c r="B72" s="1019">
        <v>1409242279</v>
      </c>
      <c r="C72" s="999">
        <v>40235335</v>
      </c>
      <c r="D72" s="999">
        <v>44077188</v>
      </c>
      <c r="E72" s="1019">
        <v>84312523</v>
      </c>
      <c r="F72" s="1019">
        <v>1493554802</v>
      </c>
      <c r="G72" s="1018">
        <v>5.645090684794303E-2</v>
      </c>
      <c r="H72" s="999">
        <v>725087.69779999997</v>
      </c>
      <c r="I72" s="996"/>
      <c r="K72" s="996"/>
      <c r="L72" s="996"/>
      <c r="M72" s="996"/>
    </row>
    <row r="73" spans="1:13" ht="8.25" customHeight="1">
      <c r="B73" s="1019"/>
      <c r="C73" s="1019"/>
      <c r="D73" s="999"/>
      <c r="E73" s="1019"/>
      <c r="F73" s="1019"/>
      <c r="G73" s="1018"/>
      <c r="H73" s="1019"/>
    </row>
    <row r="74" spans="1:13">
      <c r="A74" s="993" t="s">
        <v>108</v>
      </c>
      <c r="B74" s="1019">
        <v>2672216300</v>
      </c>
      <c r="C74" s="999">
        <v>47581300</v>
      </c>
      <c r="D74" s="999">
        <v>77302300</v>
      </c>
      <c r="E74" s="1019">
        <v>124883600</v>
      </c>
      <c r="F74" s="1019">
        <v>2797099900</v>
      </c>
      <c r="G74" s="1018">
        <v>4.4647529392854365E-2</v>
      </c>
      <c r="H74" s="999">
        <v>786766.67999999993</v>
      </c>
      <c r="I74" s="996"/>
      <c r="K74" s="996"/>
      <c r="L74" s="996"/>
      <c r="M74" s="996"/>
    </row>
    <row r="75" spans="1:13">
      <c r="A75" s="993" t="s">
        <v>110</v>
      </c>
      <c r="B75" s="1019">
        <v>965135982</v>
      </c>
      <c r="C75" s="999">
        <v>152877078</v>
      </c>
      <c r="D75" s="999">
        <v>83224400</v>
      </c>
      <c r="E75" s="1019">
        <v>236101478</v>
      </c>
      <c r="F75" s="1019">
        <v>1201237460</v>
      </c>
      <c r="G75" s="1018">
        <v>0.19654854752864601</v>
      </c>
      <c r="H75" s="999">
        <v>1460759.8443860002</v>
      </c>
      <c r="I75" s="996"/>
      <c r="K75" s="996"/>
      <c r="L75" s="996"/>
      <c r="M75" s="996"/>
    </row>
    <row r="76" spans="1:13">
      <c r="A76" s="993" t="s">
        <v>112</v>
      </c>
      <c r="B76" s="1019">
        <v>85909281920</v>
      </c>
      <c r="C76" s="999">
        <v>5408287010</v>
      </c>
      <c r="D76" s="999">
        <v>1802929900</v>
      </c>
      <c r="E76" s="1019">
        <v>7211216910</v>
      </c>
      <c r="F76" s="1019">
        <v>93120498830</v>
      </c>
      <c r="G76" s="1018">
        <v>7.7439629304013255E-2</v>
      </c>
      <c r="H76" s="999">
        <v>75357216.709499985</v>
      </c>
      <c r="I76" s="996"/>
      <c r="K76" s="996"/>
      <c r="L76" s="996"/>
      <c r="M76" s="996"/>
    </row>
    <row r="77" spans="1:13">
      <c r="A77" s="993" t="s">
        <v>114</v>
      </c>
      <c r="B77" s="1019">
        <v>5580455500</v>
      </c>
      <c r="C77" s="999">
        <v>60982000</v>
      </c>
      <c r="D77" s="999">
        <v>128805800</v>
      </c>
      <c r="E77" s="1019">
        <v>189787800</v>
      </c>
      <c r="F77" s="1019">
        <v>5770243300</v>
      </c>
      <c r="G77" s="1018">
        <v>3.2890779492781526E-2</v>
      </c>
      <c r="H77" s="999">
        <v>1366472.16</v>
      </c>
      <c r="I77" s="996"/>
      <c r="K77" s="996"/>
      <c r="L77" s="996"/>
      <c r="M77" s="996"/>
    </row>
    <row r="78" spans="1:13">
      <c r="A78" s="993" t="s">
        <v>116</v>
      </c>
      <c r="B78" s="1019">
        <v>926502400</v>
      </c>
      <c r="C78" s="999">
        <v>45008600</v>
      </c>
      <c r="D78" s="999">
        <v>54053100</v>
      </c>
      <c r="E78" s="1019">
        <v>99061700</v>
      </c>
      <c r="F78" s="1019">
        <v>1025564100</v>
      </c>
      <c r="G78" s="1018">
        <v>9.6592402171643874E-2</v>
      </c>
      <c r="H78" s="999">
        <v>376434.45999999996</v>
      </c>
      <c r="I78" s="996"/>
      <c r="K78" s="996"/>
      <c r="L78" s="996"/>
      <c r="M78" s="996"/>
    </row>
    <row r="79" spans="1:13" ht="9" customHeight="1">
      <c r="B79" s="1019"/>
      <c r="C79" s="999"/>
      <c r="D79" s="999"/>
      <c r="E79" s="1019"/>
      <c r="F79" s="1019"/>
      <c r="G79" s="1018"/>
      <c r="H79" s="999"/>
    </row>
    <row r="80" spans="1:13">
      <c r="A80" s="993" t="s">
        <v>118</v>
      </c>
      <c r="B80" s="1019">
        <v>2265906900</v>
      </c>
      <c r="C80" s="999">
        <v>107088900</v>
      </c>
      <c r="D80" s="999">
        <v>231156000</v>
      </c>
      <c r="E80" s="1019">
        <v>338244900</v>
      </c>
      <c r="F80" s="1019">
        <v>2604151800</v>
      </c>
      <c r="G80" s="1018">
        <v>0.12988678309766735</v>
      </c>
      <c r="H80" s="999">
        <v>2367714.2999999998</v>
      </c>
      <c r="I80" s="996"/>
      <c r="K80" s="996"/>
      <c r="L80" s="996"/>
      <c r="M80" s="996"/>
    </row>
    <row r="81" spans="1:13">
      <c r="A81" s="993" t="s">
        <v>120</v>
      </c>
      <c r="B81" s="1019">
        <v>1629386500</v>
      </c>
      <c r="C81" s="999">
        <v>14025800</v>
      </c>
      <c r="D81" s="999">
        <v>57689500</v>
      </c>
      <c r="E81" s="1019">
        <v>71715300</v>
      </c>
      <c r="F81" s="1019">
        <v>1701101800</v>
      </c>
      <c r="G81" s="1018">
        <v>4.2158147149100662E-2</v>
      </c>
      <c r="H81" s="999">
        <v>462563.68500000006</v>
      </c>
      <c r="I81" s="996"/>
      <c r="K81" s="996"/>
      <c r="L81" s="996"/>
      <c r="M81" s="996"/>
    </row>
    <row r="82" spans="1:13">
      <c r="A82" s="993" t="s">
        <v>122</v>
      </c>
      <c r="B82" s="1019">
        <v>4533434600</v>
      </c>
      <c r="C82" s="999">
        <v>229717200</v>
      </c>
      <c r="D82" s="999">
        <v>237281200</v>
      </c>
      <c r="E82" s="1019">
        <v>466998400</v>
      </c>
      <c r="F82" s="1019">
        <v>5000433000</v>
      </c>
      <c r="G82" s="1018">
        <v>9.3391592288107853E-2</v>
      </c>
      <c r="H82" s="999">
        <v>1961393.2799999998</v>
      </c>
      <c r="I82" s="996"/>
      <c r="K82" s="996"/>
      <c r="L82" s="996"/>
      <c r="M82" s="996"/>
    </row>
    <row r="83" spans="1:13">
      <c r="A83" s="993" t="s">
        <v>124</v>
      </c>
      <c r="B83" s="1019">
        <v>2273920800</v>
      </c>
      <c r="C83" s="999">
        <v>33591500</v>
      </c>
      <c r="D83" s="999">
        <v>78131200</v>
      </c>
      <c r="E83" s="1019">
        <v>111722700</v>
      </c>
      <c r="F83" s="1019">
        <v>2385643500</v>
      </c>
      <c r="G83" s="1018">
        <v>4.6831263765939879E-2</v>
      </c>
      <c r="H83" s="999">
        <v>692680.74</v>
      </c>
      <c r="I83" s="996"/>
      <c r="K83" s="996"/>
      <c r="L83" s="996"/>
      <c r="M83" s="996"/>
    </row>
    <row r="84" spans="1:13">
      <c r="A84" s="993" t="s">
        <v>126</v>
      </c>
      <c r="B84" s="1019">
        <v>8658132300</v>
      </c>
      <c r="C84" s="999">
        <v>888034700</v>
      </c>
      <c r="D84" s="999">
        <v>3099854900</v>
      </c>
      <c r="E84" s="1019">
        <v>3987889600</v>
      </c>
      <c r="F84" s="1019">
        <v>12646021900</v>
      </c>
      <c r="G84" s="1018">
        <v>0.31534735836571659</v>
      </c>
      <c r="H84" s="999">
        <v>35492217.439999998</v>
      </c>
      <c r="I84" s="996"/>
      <c r="K84" s="996"/>
      <c r="L84" s="996"/>
      <c r="M84" s="996"/>
    </row>
    <row r="85" spans="1:13" ht="15">
      <c r="A85" s="992" t="s">
        <v>1085</v>
      </c>
      <c r="B85" s="1006"/>
      <c r="C85" s="1006"/>
      <c r="D85" s="1006"/>
      <c r="E85" s="1006"/>
      <c r="F85" s="1006"/>
      <c r="G85" s="1006"/>
      <c r="H85" s="1006"/>
    </row>
    <row r="86" spans="1:13" ht="12.75">
      <c r="A86" s="1397" t="str">
        <f>A44</f>
        <v>Comparison of Tax Exempt Value to Total Fair Market Value (FMV) of Real Estate by Locality - Tax Year 2019</v>
      </c>
      <c r="B86" s="1397"/>
      <c r="C86" s="1397"/>
      <c r="D86" s="1397"/>
      <c r="E86" s="1397"/>
      <c r="F86" s="1397"/>
      <c r="G86" s="1397"/>
      <c r="H86" s="1397"/>
    </row>
    <row r="87" spans="1:13" ht="8.25" customHeight="1" thickBot="1">
      <c r="A87" s="1007"/>
      <c r="B87" s="1007"/>
      <c r="C87" s="1007"/>
      <c r="D87" s="1007"/>
      <c r="E87" s="1007"/>
      <c r="F87" s="1007"/>
      <c r="G87" s="1007"/>
      <c r="H87" s="1007"/>
    </row>
    <row r="88" spans="1:13" ht="13.5" customHeight="1">
      <c r="A88" s="1014"/>
      <c r="B88" s="1014"/>
      <c r="C88" s="1014"/>
      <c r="D88" s="1014"/>
      <c r="E88" s="1014"/>
      <c r="F88" s="1014" t="s">
        <v>1056</v>
      </c>
      <c r="G88" s="1014"/>
      <c r="H88" s="1014" t="s">
        <v>1074</v>
      </c>
    </row>
    <row r="89" spans="1:13">
      <c r="A89" s="1015"/>
      <c r="B89" s="1015" t="s">
        <v>1075</v>
      </c>
      <c r="C89" s="1398" t="s">
        <v>1076</v>
      </c>
      <c r="D89" s="1398"/>
      <c r="E89" s="1398"/>
      <c r="F89" s="1015" t="s">
        <v>1077</v>
      </c>
      <c r="G89" s="1015" t="s">
        <v>1078</v>
      </c>
      <c r="H89" s="1015" t="s">
        <v>1079</v>
      </c>
    </row>
    <row r="90" spans="1:13">
      <c r="A90" s="1016" t="s">
        <v>23</v>
      </c>
      <c r="B90" s="1016" t="s">
        <v>1080</v>
      </c>
      <c r="C90" s="1016" t="s">
        <v>1081</v>
      </c>
      <c r="D90" s="1016" t="s">
        <v>1082</v>
      </c>
      <c r="E90" s="1016" t="s">
        <v>1083</v>
      </c>
      <c r="F90" s="1016" t="s">
        <v>1084</v>
      </c>
      <c r="G90" s="1016" t="s">
        <v>1056</v>
      </c>
      <c r="H90" s="1016" t="s">
        <v>410</v>
      </c>
    </row>
    <row r="91" spans="1:13" ht="9" customHeight="1">
      <c r="B91" s="1019"/>
      <c r="C91" s="1019"/>
      <c r="D91" s="999"/>
      <c r="E91" s="1019"/>
      <c r="F91" s="1019"/>
      <c r="G91" s="1018"/>
      <c r="H91" s="1019"/>
    </row>
    <row r="92" spans="1:13">
      <c r="A92" s="993" t="s">
        <v>128</v>
      </c>
      <c r="B92" s="1017">
        <v>2985743250</v>
      </c>
      <c r="C92" s="994">
        <v>89946900</v>
      </c>
      <c r="D92" s="994">
        <v>95005200</v>
      </c>
      <c r="E92" s="1017">
        <v>184952100</v>
      </c>
      <c r="F92" s="1017">
        <v>3170695350</v>
      </c>
      <c r="G92" s="1018">
        <v>5.8331715785939507E-2</v>
      </c>
      <c r="H92" s="994">
        <v>1331655.1200000001</v>
      </c>
      <c r="I92" s="996"/>
      <c r="K92" s="996"/>
      <c r="L92" s="996"/>
      <c r="M92" s="996"/>
    </row>
    <row r="93" spans="1:13">
      <c r="A93" s="993" t="s">
        <v>130</v>
      </c>
      <c r="B93" s="1019">
        <v>3100118703</v>
      </c>
      <c r="C93" s="999">
        <v>291717062</v>
      </c>
      <c r="D93" s="999">
        <v>160646500</v>
      </c>
      <c r="E93" s="1019">
        <v>452363562</v>
      </c>
      <c r="F93" s="1019">
        <v>3552482265</v>
      </c>
      <c r="G93" s="1018">
        <v>0.12733731747426472</v>
      </c>
      <c r="H93" s="999">
        <v>3709381.2083999999</v>
      </c>
      <c r="I93" s="996"/>
      <c r="K93" s="996"/>
      <c r="L93" s="996"/>
      <c r="M93" s="996"/>
    </row>
    <row r="94" spans="1:13">
      <c r="A94" s="993" t="s">
        <v>132</v>
      </c>
      <c r="B94" s="1019">
        <v>1999101400</v>
      </c>
      <c r="C94" s="999">
        <v>180554800</v>
      </c>
      <c r="D94" s="999">
        <v>352741400</v>
      </c>
      <c r="E94" s="1019">
        <v>533296200</v>
      </c>
      <c r="F94" s="1019">
        <v>2532397600</v>
      </c>
      <c r="G94" s="1018">
        <v>0.21058944298478249</v>
      </c>
      <c r="H94" s="999">
        <v>4426358.459999999</v>
      </c>
      <c r="I94" s="996"/>
      <c r="K94" s="996"/>
      <c r="L94" s="996"/>
      <c r="M94" s="996"/>
    </row>
    <row r="95" spans="1:13">
      <c r="A95" s="993" t="s">
        <v>134</v>
      </c>
      <c r="B95" s="1019">
        <v>3047609200</v>
      </c>
      <c r="C95" s="999">
        <v>14658100</v>
      </c>
      <c r="D95" s="999">
        <v>82189900</v>
      </c>
      <c r="E95" s="1019">
        <v>96848000</v>
      </c>
      <c r="F95" s="1019">
        <v>3144457200</v>
      </c>
      <c r="G95" s="1018">
        <v>3.0799592374798422E-2</v>
      </c>
      <c r="H95" s="999">
        <v>571403.19999999995</v>
      </c>
      <c r="I95" s="996"/>
      <c r="K95" s="996"/>
      <c r="L95" s="996"/>
      <c r="M95" s="996"/>
    </row>
    <row r="96" spans="1:13">
      <c r="A96" s="993" t="s">
        <v>136</v>
      </c>
      <c r="B96" s="1019">
        <v>977114191</v>
      </c>
      <c r="C96" s="999">
        <v>157744496</v>
      </c>
      <c r="D96" s="999">
        <v>80086632</v>
      </c>
      <c r="E96" s="1019">
        <v>237831128</v>
      </c>
      <c r="F96" s="1019">
        <v>1214945319</v>
      </c>
      <c r="G96" s="1018">
        <v>0.19575459428557213</v>
      </c>
      <c r="H96" s="999">
        <v>1141589.3600000001</v>
      </c>
      <c r="I96" s="996"/>
      <c r="K96" s="996"/>
      <c r="L96" s="996"/>
      <c r="M96" s="996"/>
    </row>
    <row r="97" spans="1:13" ht="9" customHeight="1">
      <c r="B97" s="1019"/>
      <c r="C97" s="999"/>
      <c r="D97" s="999"/>
      <c r="E97" s="1019"/>
      <c r="F97" s="1019"/>
      <c r="G97" s="1018"/>
      <c r="H97" s="999"/>
    </row>
    <row r="98" spans="1:13">
      <c r="A98" s="993" t="s">
        <v>138</v>
      </c>
      <c r="B98" s="1019">
        <v>4173536200</v>
      </c>
      <c r="C98" s="999">
        <v>300602600</v>
      </c>
      <c r="D98" s="999">
        <v>100109800</v>
      </c>
      <c r="E98" s="1019">
        <v>400712400</v>
      </c>
      <c r="F98" s="1019">
        <v>4574248600</v>
      </c>
      <c r="G98" s="1018">
        <v>8.7601797593598207E-2</v>
      </c>
      <c r="H98" s="999">
        <v>3221727.696</v>
      </c>
      <c r="I98" s="996"/>
      <c r="K98" s="996"/>
      <c r="L98" s="996"/>
      <c r="M98" s="996"/>
    </row>
    <row r="99" spans="1:13">
      <c r="A99" s="993" t="s">
        <v>140</v>
      </c>
      <c r="B99" s="1019">
        <v>2520990100</v>
      </c>
      <c r="C99" s="999">
        <v>256238400</v>
      </c>
      <c r="D99" s="999">
        <v>199185200</v>
      </c>
      <c r="E99" s="1019">
        <v>455423600</v>
      </c>
      <c r="F99" s="1019">
        <v>2976413700</v>
      </c>
      <c r="G99" s="1018">
        <v>0.15301085329636804</v>
      </c>
      <c r="H99" s="999">
        <v>3324592.2800000003</v>
      </c>
      <c r="I99" s="996"/>
      <c r="K99" s="996"/>
      <c r="L99" s="996"/>
      <c r="M99" s="996"/>
    </row>
    <row r="100" spans="1:13">
      <c r="A100" s="993" t="s">
        <v>141</v>
      </c>
      <c r="B100" s="1019">
        <v>1582512500</v>
      </c>
      <c r="C100" s="999">
        <v>47649800</v>
      </c>
      <c r="D100" s="999">
        <v>107242300</v>
      </c>
      <c r="E100" s="1019">
        <v>154892100</v>
      </c>
      <c r="F100" s="1019">
        <v>1737404600</v>
      </c>
      <c r="G100" s="1018">
        <v>8.9151427364702496E-2</v>
      </c>
      <c r="H100" s="999">
        <v>1053266.28</v>
      </c>
      <c r="I100" s="996"/>
      <c r="K100" s="996"/>
      <c r="L100" s="996"/>
      <c r="M100" s="996"/>
    </row>
    <row r="101" spans="1:13">
      <c r="A101" s="993" t="s">
        <v>143</v>
      </c>
      <c r="B101" s="1019">
        <v>4829255400</v>
      </c>
      <c r="C101" s="999">
        <v>167193700</v>
      </c>
      <c r="D101" s="999">
        <v>441036400</v>
      </c>
      <c r="E101" s="1019">
        <v>608230100</v>
      </c>
      <c r="F101" s="1019">
        <v>5437485500</v>
      </c>
      <c r="G101" s="1018">
        <v>0.11185870748528892</v>
      </c>
      <c r="H101" s="999">
        <v>3771026.62</v>
      </c>
      <c r="I101" s="996"/>
      <c r="K101" s="996"/>
      <c r="L101" s="996"/>
      <c r="M101" s="996"/>
    </row>
    <row r="102" spans="1:13">
      <c r="A102" s="993" t="s">
        <v>145</v>
      </c>
      <c r="B102" s="1019">
        <v>3854983400</v>
      </c>
      <c r="C102" s="999">
        <v>124691900</v>
      </c>
      <c r="D102" s="999">
        <v>173339300</v>
      </c>
      <c r="E102" s="1019">
        <v>298031200</v>
      </c>
      <c r="F102" s="1019">
        <v>4153014600</v>
      </c>
      <c r="G102" s="1018">
        <v>7.176261793059914E-2</v>
      </c>
      <c r="H102" s="999">
        <v>2622674.56</v>
      </c>
      <c r="I102" s="996"/>
      <c r="K102" s="996"/>
      <c r="L102" s="996"/>
      <c r="M102" s="996"/>
    </row>
    <row r="103" spans="1:13" ht="6" customHeight="1">
      <c r="B103" s="1019"/>
      <c r="C103" s="1019"/>
      <c r="D103" s="999"/>
      <c r="E103" s="1019"/>
      <c r="F103" s="1019"/>
      <c r="G103" s="1018"/>
      <c r="H103" s="1019"/>
    </row>
    <row r="104" spans="1:13">
      <c r="A104" s="993" t="s">
        <v>146</v>
      </c>
      <c r="B104" s="1019">
        <v>1559337150</v>
      </c>
      <c r="C104" s="999">
        <v>89522200</v>
      </c>
      <c r="D104" s="999">
        <v>339059600</v>
      </c>
      <c r="E104" s="1019">
        <v>428581800</v>
      </c>
      <c r="F104" s="1019">
        <v>1987918950</v>
      </c>
      <c r="G104" s="1018">
        <v>0.21559319609081648</v>
      </c>
      <c r="H104" s="999">
        <v>2185767.1800000002</v>
      </c>
      <c r="I104" s="996"/>
      <c r="K104" s="996"/>
      <c r="L104" s="996"/>
      <c r="M104" s="996"/>
    </row>
    <row r="105" spans="1:13">
      <c r="A105" s="993" t="s">
        <v>148</v>
      </c>
      <c r="B105" s="1019">
        <v>3001941606</v>
      </c>
      <c r="C105" s="999">
        <v>2522070700</v>
      </c>
      <c r="D105" s="999">
        <v>114317200</v>
      </c>
      <c r="E105" s="1019">
        <v>2636387900</v>
      </c>
      <c r="F105" s="1019">
        <v>5638329506</v>
      </c>
      <c r="G105" s="1018">
        <v>0.4675831551161565</v>
      </c>
      <c r="H105" s="999">
        <v>0</v>
      </c>
      <c r="I105" s="996"/>
      <c r="K105" s="996"/>
      <c r="L105" s="996"/>
      <c r="M105" s="996"/>
    </row>
    <row r="106" spans="1:13">
      <c r="A106" s="993" t="s">
        <v>150</v>
      </c>
      <c r="B106" s="1019">
        <v>62427619400</v>
      </c>
      <c r="C106" s="999">
        <v>2563110200</v>
      </c>
      <c r="D106" s="999">
        <v>1881943800</v>
      </c>
      <c r="E106" s="1019">
        <v>4445054000</v>
      </c>
      <c r="F106" s="1019">
        <v>66872673400</v>
      </c>
      <c r="G106" s="1018">
        <v>6.6470409720452414E-2</v>
      </c>
      <c r="H106" s="999">
        <v>50006857.5</v>
      </c>
      <c r="I106" s="996"/>
      <c r="K106" s="996"/>
      <c r="L106" s="996"/>
      <c r="M106" s="996"/>
    </row>
    <row r="107" spans="1:13">
      <c r="A107" s="993" t="s">
        <v>152</v>
      </c>
      <c r="B107" s="1019">
        <v>2745847155</v>
      </c>
      <c r="C107" s="999">
        <v>533537900</v>
      </c>
      <c r="D107" s="999">
        <v>94469100</v>
      </c>
      <c r="E107" s="1019">
        <v>628007000</v>
      </c>
      <c r="F107" s="1019">
        <v>3373854155</v>
      </c>
      <c r="G107" s="1018">
        <v>0.18613934424797329</v>
      </c>
      <c r="H107" s="999">
        <v>4835653.9000000004</v>
      </c>
      <c r="I107" s="996"/>
      <c r="K107" s="996"/>
      <c r="L107" s="996"/>
      <c r="M107" s="996"/>
    </row>
    <row r="108" spans="1:13">
      <c r="A108" s="993" t="s">
        <v>154</v>
      </c>
      <c r="B108" s="1019">
        <v>2168949300</v>
      </c>
      <c r="C108" s="999">
        <v>111067200</v>
      </c>
      <c r="D108" s="999">
        <v>31289500</v>
      </c>
      <c r="E108" s="1019">
        <v>142356700</v>
      </c>
      <c r="F108" s="1019">
        <v>2311306000</v>
      </c>
      <c r="G108" s="1018">
        <v>6.159145522055496E-2</v>
      </c>
      <c r="H108" s="999">
        <v>953789.89</v>
      </c>
      <c r="I108" s="996"/>
      <c r="K108" s="996"/>
      <c r="L108" s="996"/>
      <c r="M108" s="996"/>
    </row>
    <row r="109" spans="1:13" ht="6" customHeight="1">
      <c r="B109" s="1019"/>
      <c r="C109" s="999"/>
      <c r="D109" s="999"/>
      <c r="E109" s="1019"/>
      <c r="F109" s="1019"/>
      <c r="G109" s="1018"/>
      <c r="H109" s="999"/>
    </row>
    <row r="110" spans="1:13">
      <c r="A110" s="993" t="s">
        <v>156</v>
      </c>
      <c r="B110" s="1019">
        <v>881309994</v>
      </c>
      <c r="C110" s="999">
        <v>71054907</v>
      </c>
      <c r="D110" s="999">
        <v>54224012</v>
      </c>
      <c r="E110" s="1019">
        <v>125278919</v>
      </c>
      <c r="F110" s="1019">
        <v>1006588913</v>
      </c>
      <c r="G110" s="1018">
        <v>0.12445887033130873</v>
      </c>
      <c r="H110" s="999">
        <v>876952.43299999996</v>
      </c>
      <c r="I110" s="996"/>
      <c r="K110" s="996"/>
      <c r="L110" s="996"/>
      <c r="M110" s="996"/>
    </row>
    <row r="111" spans="1:13">
      <c r="A111" s="993" t="s">
        <v>27</v>
      </c>
      <c r="B111" s="1019">
        <v>8883727000</v>
      </c>
      <c r="C111" s="999">
        <v>661601500</v>
      </c>
      <c r="D111" s="999">
        <v>448570900</v>
      </c>
      <c r="E111" s="1019">
        <v>1110172400</v>
      </c>
      <c r="F111" s="1019">
        <v>9993899400</v>
      </c>
      <c r="G111" s="1018">
        <v>0.11108500852029789</v>
      </c>
      <c r="H111" s="999">
        <v>12100879.16</v>
      </c>
      <c r="I111" s="996"/>
      <c r="K111" s="996"/>
      <c r="L111" s="996"/>
      <c r="M111" s="996"/>
    </row>
    <row r="112" spans="1:13">
      <c r="A112" s="993" t="s">
        <v>158</v>
      </c>
      <c r="B112" s="1019">
        <v>3093716140</v>
      </c>
      <c r="C112" s="999">
        <v>211111000</v>
      </c>
      <c r="D112" s="999">
        <v>191861400</v>
      </c>
      <c r="E112" s="1019">
        <v>402972400</v>
      </c>
      <c r="F112" s="1019">
        <v>3496688540</v>
      </c>
      <c r="G112" s="1018">
        <v>0.1152440074059327</v>
      </c>
      <c r="H112" s="999">
        <v>2941698.52</v>
      </c>
      <c r="I112" s="996"/>
      <c r="K112" s="996"/>
      <c r="L112" s="996"/>
      <c r="M112" s="996"/>
    </row>
    <row r="113" spans="1:13">
      <c r="A113" s="993" t="s">
        <v>159</v>
      </c>
      <c r="B113" s="1019">
        <v>9123576400</v>
      </c>
      <c r="C113" s="999">
        <v>329295100</v>
      </c>
      <c r="D113" s="999">
        <v>852377900</v>
      </c>
      <c r="E113" s="1019">
        <v>1181673000</v>
      </c>
      <c r="F113" s="1019">
        <v>10305249400</v>
      </c>
      <c r="G113" s="1018">
        <v>0.11466709384054305</v>
      </c>
      <c r="H113" s="999">
        <v>8744380.1999999993</v>
      </c>
      <c r="I113" s="996"/>
      <c r="K113" s="996"/>
      <c r="L113" s="996"/>
      <c r="M113" s="996"/>
    </row>
    <row r="114" spans="1:13">
      <c r="A114" s="997" t="s">
        <v>161</v>
      </c>
      <c r="B114" s="1022">
        <v>1608993683</v>
      </c>
      <c r="C114" s="999">
        <v>129226060</v>
      </c>
      <c r="D114" s="999">
        <v>102856200</v>
      </c>
      <c r="E114" s="1022">
        <v>232082260</v>
      </c>
      <c r="F114" s="1022">
        <v>1841075943</v>
      </c>
      <c r="G114" s="1023">
        <v>0.12605795045142251</v>
      </c>
      <c r="H114" s="999">
        <v>1462118.2380000001</v>
      </c>
      <c r="I114" s="996"/>
      <c r="K114" s="996"/>
      <c r="L114" s="996"/>
      <c r="M114" s="996"/>
    </row>
    <row r="115" spans="1:13" ht="8.25" customHeight="1"/>
    <row r="116" spans="1:13">
      <c r="A116" s="993" t="s">
        <v>163</v>
      </c>
      <c r="B116" s="999">
        <v>1233910100</v>
      </c>
      <c r="C116" s="999">
        <v>126056243</v>
      </c>
      <c r="D116" s="999">
        <v>164035800</v>
      </c>
      <c r="E116" s="999">
        <v>290092043</v>
      </c>
      <c r="F116" s="1024">
        <v>1524002143</v>
      </c>
      <c r="G116" s="1025">
        <v>0.19034884191760615</v>
      </c>
      <c r="H116" s="999">
        <v>2320736.344</v>
      </c>
      <c r="I116" s="996"/>
      <c r="K116" s="996"/>
      <c r="L116" s="996"/>
      <c r="M116" s="996"/>
    </row>
    <row r="117" spans="1:13">
      <c r="A117" s="993" t="s">
        <v>165</v>
      </c>
      <c r="B117" s="1019">
        <v>5018358180</v>
      </c>
      <c r="C117" s="999">
        <v>602322000</v>
      </c>
      <c r="D117" s="999">
        <v>212497600</v>
      </c>
      <c r="E117" s="1019">
        <v>814819600</v>
      </c>
      <c r="F117" s="1019">
        <v>5833177780</v>
      </c>
      <c r="G117" s="1018">
        <v>0.13968708493571749</v>
      </c>
      <c r="H117" s="999">
        <v>5214845.4400000004</v>
      </c>
      <c r="I117" s="996"/>
      <c r="K117" s="996"/>
      <c r="L117" s="996"/>
      <c r="M117" s="996"/>
    </row>
    <row r="118" spans="1:13">
      <c r="A118" s="993" t="s">
        <v>167</v>
      </c>
      <c r="B118" s="1019">
        <v>1600223200</v>
      </c>
      <c r="C118" s="999">
        <v>145722500</v>
      </c>
      <c r="D118" s="999">
        <v>205974900</v>
      </c>
      <c r="E118" s="1019">
        <v>351697400</v>
      </c>
      <c r="F118" s="1019">
        <v>1951920600</v>
      </c>
      <c r="G118" s="1018">
        <v>0.18018017741090492</v>
      </c>
      <c r="H118" s="999">
        <v>2602560.7599999998</v>
      </c>
      <c r="I118" s="996"/>
      <c r="K118" s="996"/>
      <c r="L118" s="996"/>
      <c r="M118" s="996"/>
    </row>
    <row r="119" spans="1:13">
      <c r="A119" s="993" t="s">
        <v>169</v>
      </c>
      <c r="B119" s="1019">
        <v>1822303200</v>
      </c>
      <c r="C119" s="999">
        <v>163723900</v>
      </c>
      <c r="D119" s="999">
        <v>151834700</v>
      </c>
      <c r="E119" s="1019">
        <v>315558600</v>
      </c>
      <c r="F119" s="1019">
        <v>2137861800</v>
      </c>
      <c r="G119" s="1018">
        <v>0.14760477033641745</v>
      </c>
      <c r="H119" s="999">
        <v>2824249.4699999997</v>
      </c>
      <c r="I119" s="996"/>
      <c r="K119" s="996"/>
      <c r="L119" s="996"/>
      <c r="M119" s="996"/>
    </row>
    <row r="120" spans="1:13">
      <c r="A120" s="993" t="s">
        <v>171</v>
      </c>
      <c r="B120" s="1019">
        <v>15652591400</v>
      </c>
      <c r="C120" s="999">
        <v>672150500</v>
      </c>
      <c r="D120" s="999">
        <v>189589500</v>
      </c>
      <c r="E120" s="1019">
        <v>861740000</v>
      </c>
      <c r="F120" s="1019">
        <v>16514331400</v>
      </c>
      <c r="G120" s="1018">
        <v>5.2181343532926798E-2</v>
      </c>
      <c r="H120" s="999">
        <v>7302384.7600000007</v>
      </c>
      <c r="I120" s="996"/>
      <c r="K120" s="996"/>
      <c r="L120" s="996"/>
      <c r="M120" s="996"/>
    </row>
    <row r="121" spans="1:13" ht="9" customHeight="1">
      <c r="B121" s="1019"/>
      <c r="C121" s="999"/>
      <c r="D121" s="999"/>
      <c r="E121" s="1019"/>
      <c r="F121" s="1019"/>
      <c r="G121" s="1018"/>
      <c r="H121" s="999"/>
    </row>
    <row r="122" spans="1:13">
      <c r="A122" s="993" t="s">
        <v>173</v>
      </c>
      <c r="B122" s="1019">
        <v>17858571201</v>
      </c>
      <c r="C122" s="999">
        <v>886772200</v>
      </c>
      <c r="D122" s="999">
        <v>887523300</v>
      </c>
      <c r="E122" s="1019">
        <v>1774295500</v>
      </c>
      <c r="F122" s="1019">
        <v>19632866701</v>
      </c>
      <c r="G122" s="1018">
        <v>9.037373538066279E-2</v>
      </c>
      <c r="H122" s="999">
        <v>17920384.550000001</v>
      </c>
      <c r="I122" s="996"/>
      <c r="K122" s="996"/>
      <c r="L122" s="996"/>
      <c r="M122" s="996"/>
    </row>
    <row r="123" spans="1:13">
      <c r="A123" s="993" t="s">
        <v>175</v>
      </c>
      <c r="B123" s="1019">
        <v>949954600</v>
      </c>
      <c r="C123" s="999">
        <v>54567900</v>
      </c>
      <c r="D123" s="999">
        <v>62594700</v>
      </c>
      <c r="E123" s="1019">
        <v>117162600</v>
      </c>
      <c r="F123" s="1019">
        <v>1067117200</v>
      </c>
      <c r="G123" s="1018">
        <v>0.1097935634436405</v>
      </c>
      <c r="H123" s="999">
        <v>831854.46</v>
      </c>
      <c r="I123" s="996"/>
      <c r="K123" s="996"/>
      <c r="L123" s="996"/>
      <c r="M123" s="996"/>
    </row>
    <row r="124" spans="1:13" ht="12" customHeight="1">
      <c r="A124" s="993" t="s">
        <v>177</v>
      </c>
      <c r="B124" s="1019">
        <v>898802822</v>
      </c>
      <c r="C124" s="999">
        <v>215997900</v>
      </c>
      <c r="D124" s="999">
        <v>72424100</v>
      </c>
      <c r="E124" s="1019">
        <v>288422000</v>
      </c>
      <c r="F124" s="1019">
        <v>1187224822</v>
      </c>
      <c r="G124" s="1018">
        <v>0.24293797994732291</v>
      </c>
      <c r="H124" s="999">
        <v>1672847.5999999999</v>
      </c>
      <c r="I124" s="996"/>
      <c r="K124" s="996"/>
      <c r="L124" s="996"/>
      <c r="M124" s="996"/>
    </row>
    <row r="125" spans="1:13">
      <c r="A125" s="993" t="s">
        <v>179</v>
      </c>
      <c r="B125" s="1019">
        <v>2734336575</v>
      </c>
      <c r="C125" s="999">
        <v>327346200</v>
      </c>
      <c r="D125" s="999">
        <v>215642600</v>
      </c>
      <c r="E125" s="1019">
        <v>542988800</v>
      </c>
      <c r="F125" s="1019">
        <v>3277325375</v>
      </c>
      <c r="G125" s="1018">
        <v>0.16568046741468262</v>
      </c>
      <c r="H125" s="999">
        <v>3149335.04</v>
      </c>
      <c r="I125" s="996"/>
      <c r="K125" s="996"/>
      <c r="L125" s="996"/>
      <c r="M125" s="996"/>
    </row>
    <row r="126" spans="1:13">
      <c r="A126" s="993" t="s">
        <v>181</v>
      </c>
      <c r="B126" s="1019">
        <v>4979909800</v>
      </c>
      <c r="C126" s="999">
        <v>409962400</v>
      </c>
      <c r="D126" s="999">
        <v>452250100</v>
      </c>
      <c r="E126" s="1019">
        <v>862212500</v>
      </c>
      <c r="F126" s="1019">
        <v>5842122300</v>
      </c>
      <c r="G126" s="1018">
        <v>0.14758549303221535</v>
      </c>
      <c r="H126" s="999">
        <v>5647491.875</v>
      </c>
      <c r="I126" s="996"/>
      <c r="K126" s="996"/>
      <c r="L126" s="996"/>
      <c r="M126" s="996"/>
    </row>
    <row r="127" spans="1:13" ht="15">
      <c r="A127" s="992" t="s">
        <v>1085</v>
      </c>
      <c r="B127" s="1006"/>
      <c r="C127" s="1006"/>
      <c r="D127" s="1006"/>
      <c r="E127" s="1006"/>
      <c r="F127" s="1006"/>
      <c r="G127" s="1006"/>
      <c r="H127" s="1006"/>
    </row>
    <row r="128" spans="1:13" ht="12.75">
      <c r="A128" s="1397" t="str">
        <f>A86</f>
        <v>Comparison of Tax Exempt Value to Total Fair Market Value (FMV) of Real Estate by Locality - Tax Year 2019</v>
      </c>
      <c r="B128" s="1397"/>
      <c r="C128" s="1397"/>
      <c r="D128" s="1397"/>
      <c r="E128" s="1397"/>
      <c r="F128" s="1397"/>
      <c r="G128" s="1397"/>
      <c r="H128" s="1397"/>
    </row>
    <row r="129" spans="1:13" ht="8.25" customHeight="1" thickBot="1">
      <c r="A129" s="1007"/>
      <c r="B129" s="1007"/>
      <c r="C129" s="1007"/>
      <c r="D129" s="1007"/>
      <c r="E129" s="1007"/>
      <c r="F129" s="1007"/>
      <c r="G129" s="1007"/>
      <c r="H129" s="1007"/>
    </row>
    <row r="130" spans="1:13" ht="12" customHeight="1">
      <c r="A130" s="1014"/>
      <c r="B130" s="1014"/>
      <c r="C130" s="1014"/>
      <c r="D130" s="1014"/>
      <c r="E130" s="1014"/>
      <c r="F130" s="1014" t="s">
        <v>1056</v>
      </c>
      <c r="G130" s="1014"/>
      <c r="H130" s="1014" t="s">
        <v>1074</v>
      </c>
    </row>
    <row r="131" spans="1:13">
      <c r="A131" s="1015"/>
      <c r="B131" s="1015" t="s">
        <v>1075</v>
      </c>
      <c r="C131" s="1398" t="s">
        <v>1076</v>
      </c>
      <c r="D131" s="1398"/>
      <c r="E131" s="1398"/>
      <c r="F131" s="1015" t="s">
        <v>1077</v>
      </c>
      <c r="G131" s="1015" t="s">
        <v>1078</v>
      </c>
      <c r="H131" s="1015" t="s">
        <v>1079</v>
      </c>
    </row>
    <row r="132" spans="1:13">
      <c r="A132" s="1016" t="s">
        <v>23</v>
      </c>
      <c r="B132" s="1016" t="s">
        <v>1080</v>
      </c>
      <c r="C132" s="1016" t="s">
        <v>1081</v>
      </c>
      <c r="D132" s="1016" t="s">
        <v>1082</v>
      </c>
      <c r="E132" s="1016" t="s">
        <v>1083</v>
      </c>
      <c r="F132" s="1016" t="s">
        <v>1084</v>
      </c>
      <c r="G132" s="1016" t="s">
        <v>1056</v>
      </c>
      <c r="H132" s="1016" t="s">
        <v>410</v>
      </c>
    </row>
    <row r="133" spans="1:13" ht="9" customHeight="1">
      <c r="B133" s="1019"/>
      <c r="C133" s="999"/>
      <c r="D133" s="999"/>
      <c r="E133" s="1019"/>
      <c r="F133" s="1019"/>
      <c r="G133" s="1018"/>
      <c r="H133" s="999"/>
    </row>
    <row r="134" spans="1:13">
      <c r="A134" s="993" t="s">
        <v>183</v>
      </c>
      <c r="B134" s="1017">
        <v>4835927501</v>
      </c>
      <c r="C134" s="994">
        <v>272865000</v>
      </c>
      <c r="D134" s="994">
        <v>513802300</v>
      </c>
      <c r="E134" s="1017">
        <v>786667300</v>
      </c>
      <c r="F134" s="1017">
        <v>5622594801</v>
      </c>
      <c r="G134" s="1018">
        <v>0.13991178945708274</v>
      </c>
      <c r="H134" s="994">
        <v>4956003.99</v>
      </c>
      <c r="I134" s="996"/>
      <c r="K134" s="996"/>
      <c r="L134" s="996"/>
      <c r="M134" s="996"/>
    </row>
    <row r="135" spans="1:13">
      <c r="A135" s="993" t="s">
        <v>185</v>
      </c>
      <c r="B135" s="1019">
        <v>2647085400</v>
      </c>
      <c r="C135" s="999">
        <v>67034800</v>
      </c>
      <c r="D135" s="999">
        <v>67902300</v>
      </c>
      <c r="E135" s="1019">
        <v>134937100</v>
      </c>
      <c r="F135" s="1019">
        <v>2782022500</v>
      </c>
      <c r="G135" s="1018">
        <v>4.8503238201703977E-2</v>
      </c>
      <c r="H135" s="999">
        <v>840948.91999999993</v>
      </c>
      <c r="I135" s="996"/>
      <c r="K135" s="996"/>
      <c r="L135" s="996"/>
      <c r="M135" s="996"/>
    </row>
    <row r="136" spans="1:13">
      <c r="A136" s="993" t="s">
        <v>187</v>
      </c>
      <c r="B136" s="1019">
        <v>1894338921</v>
      </c>
      <c r="C136" s="999">
        <v>462294015</v>
      </c>
      <c r="D136" s="999">
        <v>523302780</v>
      </c>
      <c r="E136" s="1019">
        <v>985596795</v>
      </c>
      <c r="F136" s="1019">
        <v>2879935716</v>
      </c>
      <c r="G136" s="1018">
        <v>0.34222874820585059</v>
      </c>
      <c r="H136" s="999">
        <v>6800617.8854999989</v>
      </c>
      <c r="I136" s="996"/>
      <c r="K136" s="996"/>
      <c r="L136" s="996"/>
      <c r="M136" s="996"/>
    </row>
    <row r="137" spans="1:13">
      <c r="A137" s="993" t="s">
        <v>189</v>
      </c>
      <c r="B137" s="1019">
        <v>2599551500</v>
      </c>
      <c r="C137" s="999">
        <v>235451700</v>
      </c>
      <c r="D137" s="999">
        <v>155032200</v>
      </c>
      <c r="E137" s="1019">
        <v>390483900</v>
      </c>
      <c r="F137" s="1019">
        <v>2990035400</v>
      </c>
      <c r="G137" s="1018">
        <v>0.13059507589776362</v>
      </c>
      <c r="H137" s="999">
        <v>2108613.06</v>
      </c>
      <c r="I137" s="996"/>
      <c r="K137" s="996"/>
      <c r="L137" s="996"/>
      <c r="M137" s="996"/>
    </row>
    <row r="138" spans="1:13">
      <c r="A138" s="993" t="s">
        <v>191</v>
      </c>
      <c r="B138" s="1019">
        <v>9256819569</v>
      </c>
      <c r="C138" s="999">
        <v>4659507400</v>
      </c>
      <c r="D138" s="999">
        <v>508779100</v>
      </c>
      <c r="E138" s="1019">
        <v>5168286500</v>
      </c>
      <c r="F138" s="1019">
        <v>14425106069</v>
      </c>
      <c r="G138" s="1018">
        <v>0.35828412458656422</v>
      </c>
      <c r="H138" s="999">
        <v>41087877.674999997</v>
      </c>
      <c r="I138" s="996"/>
      <c r="K138" s="996"/>
      <c r="L138" s="996"/>
      <c r="M138" s="996"/>
    </row>
    <row r="139" spans="1:13" ht="8.25" customHeight="1">
      <c r="B139" s="994"/>
      <c r="C139" s="994"/>
      <c r="D139" s="994"/>
      <c r="E139" s="994"/>
      <c r="F139" s="994"/>
      <c r="G139" s="994"/>
      <c r="H139" s="994"/>
    </row>
    <row r="140" spans="1:13" ht="12.75" customHeight="1">
      <c r="A140" s="1026" t="s">
        <v>24</v>
      </c>
      <c r="B140" s="1027">
        <f>SUM(B8:B60,B62:B114,B116:B138)</f>
        <v>910276017429</v>
      </c>
      <c r="C140" s="1027">
        <f>SUM(C8:C60,C62:C114,C116:C138)</f>
        <v>66099368047</v>
      </c>
      <c r="D140" s="1027">
        <f>SUM(D8:D60,D62:D114,D116:D138)</f>
        <v>33103623360</v>
      </c>
      <c r="E140" s="1027">
        <f>SUM(E8:E60,E62:E114,E116:E138)</f>
        <v>99202991407</v>
      </c>
      <c r="F140" s="1027">
        <f>SUM(F8:F60,F62:F114,F116:F138)</f>
        <v>1009479008836</v>
      </c>
      <c r="G140" s="1028">
        <f>E140/F140</f>
        <v>9.8271475225015323E-2</v>
      </c>
      <c r="H140" s="1027">
        <f>SUM(H8:H60,H62:H114,H116:H138)</f>
        <v>768270608.84052575</v>
      </c>
    </row>
    <row r="141" spans="1:13" ht="7.5" customHeight="1">
      <c r="A141" s="1029"/>
      <c r="B141" s="1030"/>
      <c r="C141" s="1030"/>
      <c r="D141" s="1030"/>
      <c r="E141" s="1030"/>
      <c r="F141" s="1030"/>
      <c r="G141" s="1031"/>
      <c r="H141" s="1030"/>
    </row>
    <row r="142" spans="1:13" ht="9" customHeight="1" thickBot="1">
      <c r="A142" s="1032"/>
      <c r="B142" s="1032"/>
      <c r="C142" s="1032"/>
      <c r="D142" s="1032"/>
      <c r="E142" s="1032"/>
      <c r="F142" s="1032"/>
      <c r="G142" s="1032"/>
      <c r="H142" s="1032"/>
    </row>
    <row r="143" spans="1:13" ht="14.25" customHeight="1">
      <c r="A143" s="1014"/>
      <c r="B143" s="1014"/>
      <c r="C143" s="1014"/>
      <c r="D143" s="1014"/>
      <c r="E143" s="1014"/>
      <c r="F143" s="1014" t="s">
        <v>1056</v>
      </c>
      <c r="G143" s="1014"/>
      <c r="H143" s="1014" t="s">
        <v>1074</v>
      </c>
    </row>
    <row r="144" spans="1:13" ht="12.75" customHeight="1">
      <c r="A144" s="1015"/>
      <c r="B144" s="1015" t="s">
        <v>1075</v>
      </c>
      <c r="C144" s="1398" t="s">
        <v>1076</v>
      </c>
      <c r="D144" s="1398"/>
      <c r="E144" s="1398"/>
      <c r="F144" s="1015" t="s">
        <v>1077</v>
      </c>
      <c r="G144" s="1015" t="s">
        <v>1078</v>
      </c>
      <c r="H144" s="1015" t="s">
        <v>1079</v>
      </c>
    </row>
    <row r="145" spans="1:13">
      <c r="A145" s="1016" t="s">
        <v>25</v>
      </c>
      <c r="B145" s="1016" t="s">
        <v>1080</v>
      </c>
      <c r="C145" s="1016" t="s">
        <v>1081</v>
      </c>
      <c r="D145" s="1016" t="s">
        <v>1082</v>
      </c>
      <c r="E145" s="1016" t="s">
        <v>1083</v>
      </c>
      <c r="F145" s="1016" t="s">
        <v>1084</v>
      </c>
      <c r="G145" s="1016" t="s">
        <v>1056</v>
      </c>
      <c r="H145" s="1016" t="s">
        <v>410</v>
      </c>
    </row>
    <row r="146" spans="1:13" ht="9" customHeight="1">
      <c r="A146" s="1015"/>
      <c r="B146" s="1015"/>
      <c r="C146" s="1015"/>
      <c r="D146" s="1015"/>
      <c r="E146" s="1015"/>
      <c r="F146" s="1015"/>
      <c r="G146" s="1015"/>
      <c r="H146" s="1015"/>
    </row>
    <row r="147" spans="1:13" ht="12" customHeight="1">
      <c r="A147" s="993" t="s">
        <v>497</v>
      </c>
      <c r="B147" s="1308">
        <f>'Table 6.2'!F142</f>
        <v>39501128321</v>
      </c>
      <c r="C147" s="1308">
        <v>3887055419</v>
      </c>
      <c r="D147" s="1308">
        <v>1249195434</v>
      </c>
      <c r="E147" s="1308">
        <f>C147+D147</f>
        <v>5136250853</v>
      </c>
      <c r="F147" s="1308">
        <f>B147+E147</f>
        <v>44637379174</v>
      </c>
      <c r="G147" s="1405">
        <f>E147/F147</f>
        <v>0.11506613847059641</v>
      </c>
      <c r="H147" s="1308">
        <v>58039634.638899997</v>
      </c>
      <c r="I147" s="996"/>
      <c r="J147" s="1037"/>
      <c r="K147" s="1404"/>
      <c r="L147" s="996"/>
      <c r="M147" s="996"/>
    </row>
    <row r="148" spans="1:13" ht="12" customHeight="1">
      <c r="A148" s="993" t="s">
        <v>198</v>
      </c>
      <c r="B148" s="999">
        <v>1186847670</v>
      </c>
      <c r="C148" s="999">
        <v>156128550</v>
      </c>
      <c r="D148" s="999">
        <v>87258900</v>
      </c>
      <c r="E148" s="999">
        <v>243387450</v>
      </c>
      <c r="F148" s="999">
        <v>1430235120</v>
      </c>
      <c r="G148" s="1033">
        <v>0.17017303420713092</v>
      </c>
      <c r="H148" s="999">
        <v>2847633.17</v>
      </c>
      <c r="I148" s="996"/>
      <c r="J148" s="1037"/>
      <c r="K148" s="1404"/>
      <c r="L148" s="996"/>
      <c r="M148" s="996"/>
    </row>
    <row r="149" spans="1:13" ht="12" customHeight="1">
      <c r="A149" s="993" t="s">
        <v>200</v>
      </c>
      <c r="B149" s="999">
        <v>328615450</v>
      </c>
      <c r="C149" s="999">
        <v>43255300</v>
      </c>
      <c r="D149" s="999">
        <v>87951300</v>
      </c>
      <c r="E149" s="999">
        <v>131206600</v>
      </c>
      <c r="F149" s="999">
        <v>459822050</v>
      </c>
      <c r="G149" s="1033">
        <v>0.2853421231104511</v>
      </c>
      <c r="H149" s="999">
        <v>1587598.7599999998</v>
      </c>
      <c r="I149" s="996"/>
      <c r="J149" s="1037"/>
      <c r="K149" s="1404"/>
      <c r="L149" s="996"/>
      <c r="M149" s="996"/>
    </row>
    <row r="150" spans="1:13" ht="12" customHeight="1">
      <c r="A150" s="993" t="s">
        <v>202</v>
      </c>
      <c r="B150" s="999">
        <v>7647893000</v>
      </c>
      <c r="C150" s="999">
        <v>958398900</v>
      </c>
      <c r="D150" s="999">
        <v>1088276900</v>
      </c>
      <c r="E150" s="999">
        <v>2046675800</v>
      </c>
      <c r="F150" s="999">
        <v>9694568800</v>
      </c>
      <c r="G150" s="1033">
        <v>0.21111571254205758</v>
      </c>
      <c r="H150" s="999">
        <v>19443420.099999998</v>
      </c>
      <c r="I150" s="996"/>
      <c r="K150" s="996"/>
      <c r="L150" s="996"/>
      <c r="M150" s="996"/>
    </row>
    <row r="151" spans="1:13" ht="12" customHeight="1">
      <c r="A151" s="993" t="s">
        <v>147</v>
      </c>
      <c r="B151" s="999">
        <v>28062056400</v>
      </c>
      <c r="C151" s="999">
        <v>2105752600</v>
      </c>
      <c r="D151" s="999">
        <v>1042367500</v>
      </c>
      <c r="E151" s="999">
        <v>3148120100</v>
      </c>
      <c r="F151" s="999">
        <v>31210176500</v>
      </c>
      <c r="G151" s="1033">
        <v>0.10086838502819745</v>
      </c>
      <c r="H151" s="999">
        <v>33055261.050000001</v>
      </c>
      <c r="I151" s="996"/>
      <c r="K151" s="996"/>
      <c r="L151" s="996"/>
      <c r="M151" s="996"/>
    </row>
    <row r="152" spans="1:13" ht="5.25" customHeight="1">
      <c r="B152" s="999"/>
      <c r="C152" s="999"/>
      <c r="D152" s="999"/>
      <c r="E152" s="999"/>
      <c r="F152" s="999"/>
      <c r="G152" s="1033"/>
      <c r="H152" s="999"/>
    </row>
    <row r="153" spans="1:13" ht="12" customHeight="1">
      <c r="A153" s="993" t="s">
        <v>149</v>
      </c>
      <c r="B153" s="999">
        <v>1694461870</v>
      </c>
      <c r="C153" s="999">
        <v>70572900</v>
      </c>
      <c r="D153" s="999">
        <v>63426800</v>
      </c>
      <c r="E153" s="999">
        <v>133999700</v>
      </c>
      <c r="F153" s="999">
        <v>1828461570</v>
      </c>
      <c r="G153" s="1033">
        <v>7.328548884951408E-2</v>
      </c>
      <c r="H153" s="999">
        <v>1607996.4</v>
      </c>
      <c r="I153" s="996"/>
      <c r="K153" s="996"/>
      <c r="L153" s="996"/>
      <c r="M153" s="996"/>
    </row>
    <row r="154" spans="1:13" ht="12" customHeight="1">
      <c r="A154" s="993" t="s">
        <v>151</v>
      </c>
      <c r="B154" s="999">
        <v>299114968</v>
      </c>
      <c r="C154" s="999">
        <v>52267500</v>
      </c>
      <c r="D154" s="999">
        <v>61834700</v>
      </c>
      <c r="E154" s="999">
        <v>114102200</v>
      </c>
      <c r="F154" s="999">
        <v>413217168</v>
      </c>
      <c r="G154" s="1033">
        <v>0.27613131504739413</v>
      </c>
      <c r="H154" s="999">
        <v>912817.60000000009</v>
      </c>
      <c r="I154" s="996"/>
      <c r="K154" s="996"/>
      <c r="L154" s="996"/>
      <c r="M154" s="996"/>
    </row>
    <row r="155" spans="1:13" ht="12" customHeight="1">
      <c r="A155" s="993" t="s">
        <v>153</v>
      </c>
      <c r="B155" s="999">
        <v>2264173900</v>
      </c>
      <c r="C155" s="999">
        <v>345829000</v>
      </c>
      <c r="D155" s="999">
        <v>193638600</v>
      </c>
      <c r="E155" s="999">
        <v>539467600</v>
      </c>
      <c r="F155" s="999">
        <v>2803641500</v>
      </c>
      <c r="G155" s="1033">
        <v>0.19241675513791617</v>
      </c>
      <c r="H155" s="999">
        <v>4531527.84</v>
      </c>
      <c r="I155" s="996"/>
      <c r="K155" s="996"/>
      <c r="L155" s="996"/>
      <c r="M155" s="996"/>
    </row>
    <row r="156" spans="1:13" ht="12" customHeight="1">
      <c r="A156" s="993" t="s">
        <v>155</v>
      </c>
      <c r="B156" s="999">
        <v>347503600</v>
      </c>
      <c r="C156" s="999">
        <v>39419000</v>
      </c>
      <c r="D156" s="999">
        <v>33125700</v>
      </c>
      <c r="E156" s="999">
        <v>72544700</v>
      </c>
      <c r="F156" s="999">
        <v>420048300</v>
      </c>
      <c r="G156" s="1033">
        <v>0.17270561504474605</v>
      </c>
      <c r="H156" s="999">
        <v>689174.64999999991</v>
      </c>
      <c r="I156" s="996"/>
      <c r="K156" s="996"/>
      <c r="L156" s="996"/>
      <c r="M156" s="996"/>
    </row>
    <row r="157" spans="1:13" ht="12" customHeight="1">
      <c r="A157" s="993" t="s">
        <v>1182</v>
      </c>
      <c r="B157" s="999">
        <v>6239184700</v>
      </c>
      <c r="C157" s="999">
        <v>238946300</v>
      </c>
      <c r="D157" s="999">
        <v>343970900</v>
      </c>
      <c r="E157" s="999">
        <v>582917200</v>
      </c>
      <c r="F157" s="999">
        <v>6822101900</v>
      </c>
      <c r="G157" s="1033">
        <v>8.5445396234846621E-2</v>
      </c>
      <c r="H157" s="999">
        <v>6266359.9000000004</v>
      </c>
      <c r="I157" s="996"/>
      <c r="K157" s="996"/>
      <c r="L157" s="996"/>
      <c r="M157" s="996"/>
    </row>
    <row r="158" spans="1:13" ht="5.25" customHeight="1">
      <c r="B158" s="999"/>
      <c r="C158" s="999"/>
      <c r="D158" s="999"/>
      <c r="E158" s="999"/>
      <c r="F158" s="999"/>
      <c r="G158" s="1033"/>
      <c r="H158" s="999"/>
    </row>
    <row r="159" spans="1:13" ht="12" customHeight="1">
      <c r="A159" s="993" t="s">
        <v>528</v>
      </c>
      <c r="B159" s="999">
        <v>4144519800</v>
      </c>
      <c r="C159" s="999">
        <v>160142300</v>
      </c>
      <c r="D159" s="999">
        <v>140260100</v>
      </c>
      <c r="E159" s="999">
        <v>300402400</v>
      </c>
      <c r="F159" s="999">
        <v>4444922200</v>
      </c>
      <c r="G159" s="1033">
        <v>6.7583275135839269E-2</v>
      </c>
      <c r="H159" s="999">
        <v>4010372.04</v>
      </c>
      <c r="I159" s="996"/>
      <c r="K159" s="996"/>
      <c r="L159" s="996"/>
      <c r="M159" s="996"/>
    </row>
    <row r="160" spans="1:13" ht="12" customHeight="1">
      <c r="A160" s="993" t="s">
        <v>26</v>
      </c>
      <c r="B160" s="999">
        <v>571192990</v>
      </c>
      <c r="C160" s="999">
        <v>38997600</v>
      </c>
      <c r="D160" s="999">
        <v>65437500</v>
      </c>
      <c r="E160" s="999">
        <v>104435100</v>
      </c>
      <c r="F160" s="999">
        <v>675628090</v>
      </c>
      <c r="G160" s="1033">
        <v>0.15457483421093401</v>
      </c>
      <c r="H160" s="999">
        <v>1075681.53</v>
      </c>
      <c r="I160" s="996"/>
      <c r="K160" s="996"/>
      <c r="L160" s="996"/>
      <c r="M160" s="996"/>
    </row>
    <row r="161" spans="1:13" ht="12" customHeight="1">
      <c r="A161" s="993" t="s">
        <v>160</v>
      </c>
      <c r="B161" s="999">
        <v>4099237700</v>
      </c>
      <c r="C161" s="999">
        <v>791868300</v>
      </c>
      <c r="D161" s="999">
        <v>429376500</v>
      </c>
      <c r="E161" s="999">
        <v>1221244800</v>
      </c>
      <c r="F161" s="999">
        <v>5320482500</v>
      </c>
      <c r="G161" s="1033">
        <v>0.22953647531027496</v>
      </c>
      <c r="H161" s="999">
        <v>10380580.800000001</v>
      </c>
      <c r="I161" s="996"/>
      <c r="K161" s="996"/>
      <c r="L161" s="996"/>
      <c r="M161" s="996"/>
    </row>
    <row r="162" spans="1:13" ht="12" customHeight="1">
      <c r="A162" s="993" t="s">
        <v>162</v>
      </c>
      <c r="B162" s="999">
        <v>444892350</v>
      </c>
      <c r="C162" s="999">
        <v>41934300</v>
      </c>
      <c r="D162" s="999">
        <v>25493200</v>
      </c>
      <c r="E162" s="999">
        <v>67427500</v>
      </c>
      <c r="F162" s="999">
        <v>512319850</v>
      </c>
      <c r="G162" s="1033">
        <v>0.13161211692266073</v>
      </c>
      <c r="H162" s="999">
        <v>569762.375</v>
      </c>
      <c r="I162" s="996"/>
      <c r="K162" s="996"/>
      <c r="L162" s="996"/>
      <c r="M162" s="996"/>
    </row>
    <row r="163" spans="1:13" ht="12" customHeight="1">
      <c r="A163" s="993" t="s">
        <v>1186</v>
      </c>
      <c r="B163" s="999">
        <v>10870556100</v>
      </c>
      <c r="C163" s="999">
        <v>3034547000</v>
      </c>
      <c r="D163" s="999">
        <v>559630800</v>
      </c>
      <c r="E163" s="999">
        <v>3594177800</v>
      </c>
      <c r="F163" s="999">
        <v>14464733900</v>
      </c>
      <c r="G163" s="1033">
        <v>0.24847866713953168</v>
      </c>
      <c r="H163" s="999">
        <v>44567804.719999999</v>
      </c>
      <c r="I163" s="996"/>
      <c r="K163" s="996"/>
      <c r="L163" s="996"/>
      <c r="M163" s="996"/>
    </row>
    <row r="164" spans="1:13" ht="5.25" customHeight="1">
      <c r="B164" s="999"/>
      <c r="C164" s="999"/>
      <c r="D164" s="999"/>
      <c r="E164" s="999"/>
      <c r="F164" s="999"/>
      <c r="G164" s="1033"/>
      <c r="H164" s="999"/>
    </row>
    <row r="165" spans="1:13" ht="12" customHeight="1">
      <c r="A165" s="993" t="s">
        <v>1062</v>
      </c>
      <c r="B165" s="999">
        <v>4372278453</v>
      </c>
      <c r="C165" s="999">
        <v>1198552230</v>
      </c>
      <c r="D165" s="999">
        <v>338276400</v>
      </c>
      <c r="E165" s="999">
        <v>1536828630</v>
      </c>
      <c r="F165" s="999">
        <v>5909107083</v>
      </c>
      <c r="G165" s="1033">
        <v>0.26007797936533011</v>
      </c>
      <c r="H165" s="999">
        <v>13216726.218000002</v>
      </c>
      <c r="I165" s="996"/>
      <c r="K165" s="996"/>
      <c r="L165" s="996"/>
      <c r="M165" s="996"/>
    </row>
    <row r="166" spans="1:13" ht="12" customHeight="1">
      <c r="A166" s="993" t="s">
        <v>168</v>
      </c>
      <c r="B166" s="999">
        <v>1364498700</v>
      </c>
      <c r="C166" s="999">
        <v>168391000</v>
      </c>
      <c r="D166" s="999">
        <v>40025900</v>
      </c>
      <c r="E166" s="999">
        <v>208416900</v>
      </c>
      <c r="F166" s="999">
        <v>1572915600</v>
      </c>
      <c r="G166" s="1033">
        <v>0.13250354945936069</v>
      </c>
      <c r="H166" s="999">
        <v>2355110.9699999997</v>
      </c>
      <c r="I166" s="996"/>
      <c r="K166" s="996"/>
      <c r="L166" s="996"/>
      <c r="M166" s="996"/>
    </row>
    <row r="167" spans="1:13" ht="12" customHeight="1">
      <c r="A167" s="993" t="s">
        <v>1063</v>
      </c>
      <c r="B167" s="999">
        <v>575280400</v>
      </c>
      <c r="C167" s="999">
        <v>531387900</v>
      </c>
      <c r="D167" s="999">
        <v>543230900</v>
      </c>
      <c r="E167" s="999">
        <v>1074618800</v>
      </c>
      <c r="F167" s="999">
        <v>1649899200</v>
      </c>
      <c r="G167" s="1033">
        <v>0.65132391118196797</v>
      </c>
      <c r="H167" s="999">
        <v>11390959.280000001</v>
      </c>
      <c r="I167" s="996"/>
      <c r="K167" s="996"/>
      <c r="L167" s="996"/>
      <c r="M167" s="996"/>
    </row>
    <row r="168" spans="1:13" ht="12" customHeight="1">
      <c r="A168" s="997" t="s">
        <v>172</v>
      </c>
      <c r="B168" s="999">
        <v>5626575300</v>
      </c>
      <c r="C168" s="999">
        <v>462701600</v>
      </c>
      <c r="D168" s="999">
        <v>1357092800</v>
      </c>
      <c r="E168" s="999">
        <v>1819794400</v>
      </c>
      <c r="F168" s="1024">
        <v>7446369700</v>
      </c>
      <c r="G168" s="1025">
        <v>0.24438679159322427</v>
      </c>
      <c r="H168" s="999">
        <v>20199717.840000004</v>
      </c>
      <c r="I168" s="996"/>
      <c r="K168" s="996"/>
      <c r="L168" s="996"/>
      <c r="M168" s="996"/>
    </row>
    <row r="169" spans="1:13" ht="12" customHeight="1">
      <c r="A169" s="993" t="s">
        <v>1064</v>
      </c>
      <c r="B169" s="999">
        <v>5063746000</v>
      </c>
      <c r="C169" s="999">
        <v>571514000</v>
      </c>
      <c r="D169" s="999">
        <v>237596800</v>
      </c>
      <c r="E169" s="999">
        <v>809110800</v>
      </c>
      <c r="F169" s="1024">
        <v>5872856800</v>
      </c>
      <c r="G169" s="1025">
        <v>0.13777124618465073</v>
      </c>
      <c r="H169" s="999">
        <v>11974839.84</v>
      </c>
      <c r="I169" s="996"/>
      <c r="K169" s="996"/>
      <c r="L169" s="996"/>
      <c r="M169" s="996"/>
    </row>
    <row r="170" spans="1:13" ht="15">
      <c r="A170" s="992" t="s">
        <v>1085</v>
      </c>
      <c r="B170" s="1006"/>
      <c r="C170" s="1006"/>
      <c r="D170" s="1006"/>
      <c r="E170" s="1006"/>
      <c r="F170" s="1006"/>
      <c r="G170" s="1006"/>
      <c r="H170" s="1006"/>
    </row>
    <row r="171" spans="1:13" ht="12.75">
      <c r="A171" s="1397" t="str">
        <f>A128</f>
        <v>Comparison of Tax Exempt Value to Total Fair Market Value (FMV) of Real Estate by Locality - Tax Year 2019</v>
      </c>
      <c r="B171" s="1397"/>
      <c r="C171" s="1397"/>
      <c r="D171" s="1397"/>
      <c r="E171" s="1397"/>
      <c r="F171" s="1397"/>
      <c r="G171" s="1397"/>
      <c r="H171" s="1397"/>
    </row>
    <row r="172" spans="1:13" ht="12.75" thickBot="1">
      <c r="A172" s="1007"/>
      <c r="B172" s="1007"/>
      <c r="C172" s="1007"/>
      <c r="D172" s="1007"/>
      <c r="E172" s="1007"/>
      <c r="F172" s="1007"/>
      <c r="G172" s="1007"/>
      <c r="H172" s="1007"/>
    </row>
    <row r="173" spans="1:13" ht="14.25" customHeight="1">
      <c r="A173" s="1014"/>
      <c r="B173" s="1014"/>
      <c r="C173" s="1014"/>
      <c r="D173" s="1014"/>
      <c r="E173" s="1014"/>
      <c r="F173" s="1014" t="s">
        <v>1056</v>
      </c>
      <c r="G173" s="1014"/>
      <c r="H173" s="1014" t="s">
        <v>1074</v>
      </c>
    </row>
    <row r="174" spans="1:13">
      <c r="A174" s="1015"/>
      <c r="B174" s="1015" t="s">
        <v>1075</v>
      </c>
      <c r="C174" s="1398" t="s">
        <v>1076</v>
      </c>
      <c r="D174" s="1398"/>
      <c r="E174" s="1398"/>
      <c r="F174" s="1015" t="s">
        <v>1077</v>
      </c>
      <c r="G174" s="1015" t="s">
        <v>1078</v>
      </c>
      <c r="H174" s="1015" t="s">
        <v>1079</v>
      </c>
    </row>
    <row r="175" spans="1:13">
      <c r="A175" s="1016" t="s">
        <v>25</v>
      </c>
      <c r="B175" s="1016" t="s">
        <v>1080</v>
      </c>
      <c r="C175" s="1016" t="s">
        <v>1081</v>
      </c>
      <c r="D175" s="1016" t="s">
        <v>1082</v>
      </c>
      <c r="E175" s="1016" t="s">
        <v>1083</v>
      </c>
      <c r="F175" s="1016" t="s">
        <v>1084</v>
      </c>
      <c r="G175" s="1016" t="s">
        <v>1056</v>
      </c>
      <c r="H175" s="1016" t="s">
        <v>410</v>
      </c>
    </row>
    <row r="176" spans="1:13" ht="8.25" customHeight="1"/>
    <row r="177" spans="1:13" ht="12" customHeight="1">
      <c r="A177" s="993" t="s">
        <v>1185</v>
      </c>
      <c r="B177" s="1017">
        <v>1625685700</v>
      </c>
      <c r="C177" s="994">
        <v>131520000</v>
      </c>
      <c r="D177" s="994">
        <v>2666400</v>
      </c>
      <c r="E177" s="1017">
        <v>134186400</v>
      </c>
      <c r="F177" s="1017">
        <v>1759872100</v>
      </c>
      <c r="G177" s="1018">
        <v>7.6247813690551711E-2</v>
      </c>
      <c r="H177" s="994">
        <v>2079889.2</v>
      </c>
      <c r="I177" s="996"/>
      <c r="K177" s="996"/>
      <c r="L177" s="996"/>
      <c r="M177" s="996"/>
    </row>
    <row r="178" spans="1:13" ht="12" customHeight="1">
      <c r="A178" s="993" t="s">
        <v>178</v>
      </c>
      <c r="B178" s="999">
        <v>638496000</v>
      </c>
      <c r="C178" s="999">
        <v>49198600</v>
      </c>
      <c r="D178" s="999">
        <v>97526700</v>
      </c>
      <c r="E178" s="999">
        <v>146725300</v>
      </c>
      <c r="F178" s="999">
        <v>785221300</v>
      </c>
      <c r="G178" s="1033">
        <v>0.18685853274739236</v>
      </c>
      <c r="H178" s="999">
        <v>1558369.4113</v>
      </c>
      <c r="I178" s="996"/>
      <c r="K178" s="996"/>
      <c r="L178" s="996"/>
      <c r="M178" s="996"/>
    </row>
    <row r="179" spans="1:13" ht="12" customHeight="1">
      <c r="A179" s="993" t="s">
        <v>180</v>
      </c>
      <c r="B179" s="999">
        <v>16006199700</v>
      </c>
      <c r="C179" s="999">
        <v>18124814900</v>
      </c>
      <c r="D179" s="999">
        <v>823363300</v>
      </c>
      <c r="E179" s="999">
        <v>18948178200</v>
      </c>
      <c r="F179" s="999">
        <v>34954377900</v>
      </c>
      <c r="G179" s="1033">
        <v>0.54208311915057716</v>
      </c>
      <c r="H179" s="999">
        <v>231167774.03999999</v>
      </c>
      <c r="I179" s="996"/>
      <c r="K179" s="996"/>
      <c r="L179" s="996"/>
      <c r="M179" s="996"/>
    </row>
    <row r="180" spans="1:13" ht="12" customHeight="1">
      <c r="A180" s="993" t="s">
        <v>182</v>
      </c>
      <c r="B180" s="999">
        <v>21076783700</v>
      </c>
      <c r="C180" s="999">
        <v>9362472000</v>
      </c>
      <c r="D180" s="999">
        <v>2341912500</v>
      </c>
      <c r="E180" s="999">
        <v>11704384500</v>
      </c>
      <c r="F180" s="999">
        <v>32781168200</v>
      </c>
      <c r="G180" s="1033">
        <v>0.35704598532275611</v>
      </c>
      <c r="H180" s="999">
        <v>146304806.25</v>
      </c>
      <c r="I180" s="996"/>
      <c r="K180" s="996"/>
      <c r="L180" s="996"/>
      <c r="M180" s="996"/>
    </row>
    <row r="181" spans="1:13" ht="12" customHeight="1">
      <c r="A181" s="993" t="s">
        <v>1065</v>
      </c>
      <c r="B181" s="999">
        <v>233537200</v>
      </c>
      <c r="C181" s="999">
        <v>34723000</v>
      </c>
      <c r="D181" s="999">
        <v>38810600</v>
      </c>
      <c r="E181" s="999">
        <v>73533600</v>
      </c>
      <c r="F181" s="999">
        <v>307070800</v>
      </c>
      <c r="G181" s="1033">
        <v>0.23946790121366149</v>
      </c>
      <c r="H181" s="999">
        <v>661802.4</v>
      </c>
      <c r="I181" s="996"/>
      <c r="K181" s="996"/>
      <c r="L181" s="996"/>
      <c r="M181" s="996"/>
    </row>
    <row r="182" spans="1:13" ht="9" customHeight="1">
      <c r="B182" s="999"/>
      <c r="C182" s="999"/>
      <c r="D182" s="999"/>
      <c r="E182" s="999"/>
      <c r="F182" s="999"/>
      <c r="G182" s="1033"/>
      <c r="H182" s="999"/>
    </row>
    <row r="183" spans="1:13" ht="12" customHeight="1">
      <c r="A183" s="1009" t="s">
        <v>1184</v>
      </c>
      <c r="B183" s="999">
        <v>1922080749</v>
      </c>
      <c r="C183" s="999">
        <v>212048307</v>
      </c>
      <c r="D183" s="999">
        <v>184754128</v>
      </c>
      <c r="E183" s="999">
        <v>396802435</v>
      </c>
      <c r="F183" s="999">
        <v>2318883184</v>
      </c>
      <c r="G183" s="1033">
        <v>0.17111790612734892</v>
      </c>
      <c r="H183" s="999">
        <v>5356832.8725000005</v>
      </c>
      <c r="I183" s="996"/>
      <c r="K183" s="996"/>
      <c r="L183" s="996"/>
      <c r="M183" s="996"/>
    </row>
    <row r="184" spans="1:13" ht="12" customHeight="1">
      <c r="A184" s="993" t="s">
        <v>1183</v>
      </c>
      <c r="B184" s="999">
        <v>1602049325</v>
      </c>
      <c r="C184" s="999">
        <v>40651900</v>
      </c>
      <c r="D184" s="999">
        <v>63077000</v>
      </c>
      <c r="E184" s="999">
        <v>103728900</v>
      </c>
      <c r="F184" s="999">
        <v>1705778225</v>
      </c>
      <c r="G184" s="1033">
        <v>6.0810308444405194E-2</v>
      </c>
      <c r="H184" s="999">
        <v>1182509.46</v>
      </c>
      <c r="I184" s="996"/>
      <c r="K184" s="996"/>
      <c r="L184" s="996"/>
      <c r="M184" s="996"/>
    </row>
    <row r="185" spans="1:13" ht="12" customHeight="1">
      <c r="A185" s="993" t="s">
        <v>1133</v>
      </c>
      <c r="B185" s="999">
        <v>7494771402</v>
      </c>
      <c r="C185" s="999">
        <v>4972003421</v>
      </c>
      <c r="D185" s="999">
        <v>563378830</v>
      </c>
      <c r="E185" s="999">
        <v>5535382251</v>
      </c>
      <c r="F185" s="999">
        <v>13030153653</v>
      </c>
      <c r="G185" s="1033">
        <v>0.42481327530052265</v>
      </c>
      <c r="H185" s="999">
        <v>71959969.263000011</v>
      </c>
      <c r="I185" s="996"/>
      <c r="K185" s="996"/>
      <c r="L185" s="996"/>
      <c r="M185" s="996"/>
    </row>
    <row r="186" spans="1:13" ht="12" customHeight="1">
      <c r="A186" s="993" t="s">
        <v>192</v>
      </c>
      <c r="B186" s="999">
        <v>822947600</v>
      </c>
      <c r="C186" s="999">
        <v>573466200</v>
      </c>
      <c r="D186" s="999">
        <v>29477600</v>
      </c>
      <c r="E186" s="999">
        <v>602943800</v>
      </c>
      <c r="F186" s="999">
        <v>1425891400</v>
      </c>
      <c r="G186" s="1033">
        <v>0.42285394245312091</v>
      </c>
      <c r="H186" s="999">
        <v>4944139.16</v>
      </c>
      <c r="I186" s="996"/>
      <c r="K186" s="996"/>
      <c r="L186" s="996"/>
      <c r="M186" s="996"/>
    </row>
    <row r="187" spans="1:13" ht="12" customHeight="1">
      <c r="A187" s="993" t="s">
        <v>1190</v>
      </c>
      <c r="B187" s="999">
        <v>22710883000</v>
      </c>
      <c r="C187" s="999">
        <v>5582978000</v>
      </c>
      <c r="D187" s="999">
        <v>1952875000</v>
      </c>
      <c r="E187" s="999">
        <v>7535853000</v>
      </c>
      <c r="F187" s="999">
        <v>30246736000</v>
      </c>
      <c r="G187" s="1033">
        <v>0.24914599049629685</v>
      </c>
      <c r="H187" s="999">
        <v>90430236</v>
      </c>
      <c r="I187" s="996"/>
      <c r="K187" s="996"/>
      <c r="L187" s="996"/>
      <c r="M187" s="996"/>
    </row>
    <row r="188" spans="1:13" ht="11.25" customHeight="1">
      <c r="B188" s="999"/>
      <c r="C188" s="999"/>
      <c r="D188" s="999"/>
      <c r="E188" s="999"/>
      <c r="F188" s="999"/>
      <c r="G188" s="1033"/>
      <c r="H188" s="999"/>
    </row>
    <row r="189" spans="1:13" ht="12" customHeight="1">
      <c r="A189" s="993" t="s">
        <v>27</v>
      </c>
      <c r="B189" s="999">
        <v>7962115600</v>
      </c>
      <c r="C189" s="999">
        <v>1064329900</v>
      </c>
      <c r="D189" s="999">
        <v>1115859800</v>
      </c>
      <c r="E189" s="999">
        <v>2180189700</v>
      </c>
      <c r="F189" s="999">
        <v>10142305300</v>
      </c>
      <c r="G189" s="1033">
        <v>0.2149599756181664</v>
      </c>
      <c r="H189" s="999">
        <v>26598314.34</v>
      </c>
      <c r="I189" s="996"/>
      <c r="K189" s="996"/>
      <c r="L189" s="996"/>
      <c r="M189" s="996"/>
    </row>
    <row r="190" spans="1:13" ht="12" customHeight="1">
      <c r="A190" s="993" t="s">
        <v>193</v>
      </c>
      <c r="B190" s="999">
        <v>2277666100</v>
      </c>
      <c r="C190" s="999">
        <v>342704400</v>
      </c>
      <c r="D190" s="999">
        <v>199441800</v>
      </c>
      <c r="E190" s="999">
        <v>542146200</v>
      </c>
      <c r="F190" s="999">
        <v>2819812300</v>
      </c>
      <c r="G190" s="1033">
        <v>0.19226322262655568</v>
      </c>
      <c r="H190" s="999">
        <v>6505754.4000000004</v>
      </c>
      <c r="I190" s="996"/>
      <c r="K190" s="996"/>
      <c r="L190" s="996"/>
      <c r="M190" s="996"/>
    </row>
    <row r="191" spans="1:13" ht="12" customHeight="1">
      <c r="A191" s="993" t="s">
        <v>194</v>
      </c>
      <c r="B191" s="999">
        <v>2043064069</v>
      </c>
      <c r="C191" s="999">
        <v>256336765</v>
      </c>
      <c r="D191" s="999">
        <v>153955422</v>
      </c>
      <c r="E191" s="999">
        <v>410292187</v>
      </c>
      <c r="F191" s="999">
        <v>2453356256</v>
      </c>
      <c r="G191" s="1033">
        <v>0.16723710060313393</v>
      </c>
      <c r="H191" s="999">
        <v>3979834.2138999999</v>
      </c>
      <c r="I191" s="996"/>
      <c r="K191" s="996"/>
      <c r="L191" s="996"/>
      <c r="M191" s="996"/>
    </row>
    <row r="192" spans="1:13" ht="12" customHeight="1">
      <c r="A192" s="993" t="s">
        <v>195</v>
      </c>
      <c r="B192" s="999">
        <v>10513127400</v>
      </c>
      <c r="C192" s="999">
        <v>747181400</v>
      </c>
      <c r="D192" s="999">
        <v>370483700</v>
      </c>
      <c r="E192" s="999">
        <v>1117665100</v>
      </c>
      <c r="F192" s="999">
        <v>11630792500</v>
      </c>
      <c r="G192" s="1033">
        <v>9.6095352057910075E-2</v>
      </c>
      <c r="H192" s="999">
        <v>12406082.610000001</v>
      </c>
      <c r="I192" s="996"/>
      <c r="K192" s="996"/>
      <c r="L192" s="996"/>
      <c r="M192" s="996"/>
    </row>
    <row r="193" spans="1:13" ht="12" customHeight="1">
      <c r="A193" s="993" t="s">
        <v>697</v>
      </c>
      <c r="B193" s="999">
        <v>59558551700</v>
      </c>
      <c r="C193" s="999">
        <v>9705359000</v>
      </c>
      <c r="D193" s="999">
        <v>1716477500</v>
      </c>
      <c r="E193" s="999">
        <v>11421836500</v>
      </c>
      <c r="F193" s="999">
        <v>70980388200</v>
      </c>
      <c r="G193" s="1033">
        <v>0.16091538507533831</v>
      </c>
      <c r="H193" s="999">
        <v>116217186.3875</v>
      </c>
      <c r="I193" s="996"/>
      <c r="K193" s="996"/>
      <c r="L193" s="996"/>
      <c r="M193" s="996"/>
    </row>
    <row r="194" spans="1:13" ht="9" customHeight="1">
      <c r="B194" s="999"/>
      <c r="C194" s="999"/>
      <c r="D194" s="999"/>
      <c r="E194" s="999"/>
      <c r="F194" s="999"/>
      <c r="G194" s="1033"/>
      <c r="H194" s="999"/>
    </row>
    <row r="195" spans="1:13">
      <c r="A195" s="993" t="s">
        <v>197</v>
      </c>
      <c r="B195" s="999">
        <v>1908479700</v>
      </c>
      <c r="C195" s="999">
        <v>116586000</v>
      </c>
      <c r="D195" s="999">
        <v>197620400</v>
      </c>
      <c r="E195" s="999">
        <v>314206400</v>
      </c>
      <c r="F195" s="999">
        <v>2222686100</v>
      </c>
      <c r="G195" s="1033">
        <v>0.14136337110309907</v>
      </c>
      <c r="H195" s="999">
        <v>2827857.6</v>
      </c>
      <c r="I195" s="996"/>
      <c r="K195" s="996"/>
      <c r="L195" s="996"/>
      <c r="M195" s="996"/>
    </row>
    <row r="196" spans="1:13">
      <c r="A196" s="993" t="s">
        <v>1066</v>
      </c>
      <c r="B196" s="999">
        <v>1996684300</v>
      </c>
      <c r="C196" s="999">
        <v>118622200</v>
      </c>
      <c r="D196" s="999">
        <v>924575700</v>
      </c>
      <c r="E196" s="999">
        <v>1043197900</v>
      </c>
      <c r="F196" s="999">
        <v>3039882200</v>
      </c>
      <c r="G196" s="1033">
        <v>0.34317050180431335</v>
      </c>
      <c r="H196" s="999">
        <v>6259187.4000000004</v>
      </c>
      <c r="I196" s="996"/>
      <c r="K196" s="996"/>
      <c r="L196" s="996"/>
      <c r="M196" s="996"/>
    </row>
    <row r="197" spans="1:13">
      <c r="A197" s="993" t="s">
        <v>201</v>
      </c>
      <c r="B197" s="999">
        <v>3191648489</v>
      </c>
      <c r="C197" s="999">
        <v>139017900</v>
      </c>
      <c r="D197" s="999">
        <v>827135701</v>
      </c>
      <c r="E197" s="999">
        <v>966153601</v>
      </c>
      <c r="F197" s="999">
        <v>4157802090</v>
      </c>
      <c r="G197" s="1033">
        <v>0.23237123366783435</v>
      </c>
      <c r="H197" s="999">
        <v>8985228.4892999995</v>
      </c>
      <c r="I197" s="996"/>
      <c r="K197" s="996"/>
      <c r="L197" s="996"/>
      <c r="M197" s="996"/>
    </row>
    <row r="198" spans="1:13" ht="12" customHeight="1">
      <c r="E198" s="999"/>
      <c r="G198" s="1033"/>
    </row>
    <row r="199" spans="1:13" ht="12.75" customHeight="1">
      <c r="A199" s="1027" t="s">
        <v>29</v>
      </c>
      <c r="B199" s="1027">
        <f>SUM(B147:B168,B169:B197)</f>
        <v>288288529406</v>
      </c>
      <c r="C199" s="1027">
        <f>SUM(C147:C168,C169:C197)</f>
        <v>66471675592</v>
      </c>
      <c r="D199" s="1027">
        <f>SUM(D147:D168,D169:D197)</f>
        <v>19590859715</v>
      </c>
      <c r="E199" s="1027">
        <f>SUM(E147:E168,E169:E197)</f>
        <v>86062535307</v>
      </c>
      <c r="F199" s="1027">
        <f>SUM(F147:F168,F169:F197)</f>
        <v>374351064713</v>
      </c>
      <c r="G199" s="1028">
        <f>E199/F199</f>
        <v>0.22989793116517701</v>
      </c>
      <c r="H199" s="1027">
        <f>SUM(H147:H168,H169:H197)</f>
        <v>988148753.21939993</v>
      </c>
    </row>
    <row r="200" spans="1:13" ht="12.75" customHeight="1">
      <c r="A200" s="1027" t="s">
        <v>24</v>
      </c>
      <c r="B200" s="1027">
        <f t="shared" ref="B200:H200" si="0">B140</f>
        <v>910276017429</v>
      </c>
      <c r="C200" s="1027">
        <f t="shared" si="0"/>
        <v>66099368047</v>
      </c>
      <c r="D200" s="1027">
        <f t="shared" si="0"/>
        <v>33103623360</v>
      </c>
      <c r="E200" s="1027">
        <f t="shared" si="0"/>
        <v>99202991407</v>
      </c>
      <c r="F200" s="1027">
        <f t="shared" si="0"/>
        <v>1009479008836</v>
      </c>
      <c r="G200" s="1028">
        <f>E200/F200</f>
        <v>9.8271475225015323E-2</v>
      </c>
      <c r="H200" s="1027">
        <f t="shared" si="0"/>
        <v>768270608.84052575</v>
      </c>
    </row>
    <row r="201" spans="1:13">
      <c r="A201" s="1034"/>
      <c r="B201" s="1034"/>
      <c r="C201" s="1034"/>
      <c r="D201" s="1034"/>
      <c r="E201" s="1034"/>
      <c r="F201" s="1034"/>
      <c r="G201" s="1034"/>
      <c r="H201" s="1034"/>
    </row>
    <row r="202" spans="1:13" ht="12.75" customHeight="1">
      <c r="A202" s="1027" t="s">
        <v>30</v>
      </c>
      <c r="B202" s="1027">
        <f>SUM(B199:B200)</f>
        <v>1198564546835</v>
      </c>
      <c r="C202" s="1027">
        <f>SUM(C199:C200)</f>
        <v>132571043639</v>
      </c>
      <c r="D202" s="1027">
        <f>SUM(D199:D200)</f>
        <v>52694483075</v>
      </c>
      <c r="E202" s="1027">
        <f>SUM(E199:E200)</f>
        <v>185265526714</v>
      </c>
      <c r="F202" s="1027">
        <f>SUM(F199:F200)</f>
        <v>1383830073549</v>
      </c>
      <c r="G202" s="1028">
        <f>E202/F202</f>
        <v>0.13387881233052271</v>
      </c>
      <c r="H202" s="1027">
        <f>SUM(H199:H200)</f>
        <v>1756419362.0599256</v>
      </c>
    </row>
    <row r="203" spans="1:13">
      <c r="A203" s="1008"/>
      <c r="B203" s="1246"/>
      <c r="C203" s="1246"/>
      <c r="D203" s="1246"/>
      <c r="E203" s="1246"/>
      <c r="F203" s="1246"/>
      <c r="G203" s="1247"/>
      <c r="H203" s="1246"/>
    </row>
    <row r="204" spans="1:13">
      <c r="A204" s="1008"/>
      <c r="B204" s="1246"/>
      <c r="C204" s="1246"/>
      <c r="D204" s="1246"/>
      <c r="E204" s="1246"/>
      <c r="F204" s="1246"/>
      <c r="G204" s="1246"/>
      <c r="H204" s="1246"/>
    </row>
    <row r="205" spans="1:13">
      <c r="A205" s="993" t="s">
        <v>1</v>
      </c>
      <c r="B205" s="1035"/>
      <c r="C205" s="1035"/>
      <c r="D205" s="1035"/>
      <c r="E205" s="1035"/>
      <c r="F205" s="1035"/>
      <c r="G205" s="1035"/>
      <c r="H205" s="1035"/>
    </row>
    <row r="206" spans="1:13">
      <c r="A206" s="993" t="s">
        <v>1067</v>
      </c>
      <c r="F206" s="994"/>
      <c r="G206" s="1036"/>
    </row>
    <row r="207" spans="1:13">
      <c r="A207" s="1009" t="s">
        <v>1086</v>
      </c>
      <c r="G207" s="1036"/>
    </row>
    <row r="208" spans="1:13">
      <c r="A208" s="1009" t="s">
        <v>1087</v>
      </c>
      <c r="G208" s="1036"/>
    </row>
    <row r="209" spans="1:8">
      <c r="A209" s="1245" t="s">
        <v>1175</v>
      </c>
    </row>
    <row r="210" spans="1:8">
      <c r="B210" s="1037"/>
      <c r="C210" s="1037"/>
      <c r="D210" s="1037"/>
      <c r="E210" s="1037"/>
      <c r="F210" s="1037"/>
      <c r="G210" s="1036"/>
      <c r="H210" s="1037"/>
    </row>
    <row r="211" spans="1:8">
      <c r="B211" s="1200">
        <v>1197482687329</v>
      </c>
      <c r="C211" s="1200">
        <v>132613911494</v>
      </c>
      <c r="D211" s="1200">
        <v>52531008029</v>
      </c>
      <c r="E211" s="1200">
        <v>185144919523</v>
      </c>
      <c r="F211" s="1200">
        <v>1382627606852</v>
      </c>
      <c r="G211" s="1201">
        <v>0.13390801587170853</v>
      </c>
      <c r="H211" s="1200">
        <v>1845670812.4442854</v>
      </c>
    </row>
    <row r="212" spans="1:8">
      <c r="B212" s="1200">
        <f>B202-B211</f>
        <v>1081859506</v>
      </c>
      <c r="C212" s="1200">
        <f t="shared" ref="C212:H212" si="1">C202-C211</f>
        <v>-42867855</v>
      </c>
      <c r="D212" s="1200">
        <f t="shared" si="1"/>
        <v>163475046</v>
      </c>
      <c r="E212" s="1200">
        <f t="shared" si="1"/>
        <v>120607191</v>
      </c>
      <c r="F212" s="1200">
        <f t="shared" si="1"/>
        <v>1202466697</v>
      </c>
      <c r="G212" s="1200">
        <f t="shared" si="1"/>
        <v>-2.92035411858238E-5</v>
      </c>
      <c r="H212" s="1200">
        <f t="shared" si="1"/>
        <v>-89251450.384359837</v>
      </c>
    </row>
    <row r="213" spans="1:8">
      <c r="B213" s="1037"/>
      <c r="C213" s="1037"/>
      <c r="D213" s="1037"/>
      <c r="E213" s="1037"/>
      <c r="F213" s="1037"/>
      <c r="G213" s="1036"/>
      <c r="H213" s="1037"/>
    </row>
    <row r="215" spans="1:8">
      <c r="B215" s="1038"/>
      <c r="C215" s="1038"/>
      <c r="D215" s="1038"/>
      <c r="E215" s="1038"/>
      <c r="F215" s="1038"/>
      <c r="G215" s="1038"/>
      <c r="H215" s="1038"/>
    </row>
    <row r="216" spans="1:8">
      <c r="B216" s="1038"/>
      <c r="C216" s="1038"/>
      <c r="D216" s="1038"/>
      <c r="E216" s="1038"/>
      <c r="F216" s="1038"/>
      <c r="G216" s="1038"/>
      <c r="H216" s="1038"/>
    </row>
    <row r="218" spans="1:8">
      <c r="B218" s="1038"/>
      <c r="C218" s="1038"/>
      <c r="D218" s="1038"/>
      <c r="E218" s="1038"/>
      <c r="F218" s="1038"/>
      <c r="G218" s="1038"/>
      <c r="H218" s="1038"/>
    </row>
  </sheetData>
  <mergeCells count="11">
    <mergeCell ref="C89:E89"/>
    <mergeCell ref="A2:H2"/>
    <mergeCell ref="C5:E5"/>
    <mergeCell ref="A44:H44"/>
    <mergeCell ref="C47:E47"/>
    <mergeCell ref="A86:H86"/>
    <mergeCell ref="A128:H128"/>
    <mergeCell ref="C131:E131"/>
    <mergeCell ref="C144:E144"/>
    <mergeCell ref="A171:H171"/>
    <mergeCell ref="C174:E174"/>
  </mergeCells>
  <conditionalFormatting sqref="I1:M1048576">
    <cfRule type="cellIs" dxfId="1" priority="1" stopIfTrue="1" operator="greaterThan">
      <formula>0.35</formula>
    </cfRule>
  </conditionalFormatting>
  <printOptions horizontalCentered="1"/>
  <pageMargins left="0.25" right="0.25" top="0.75" bottom="1.25" header="0.25" footer="0.4"/>
  <pageSetup fitToHeight="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6"/>
  <sheetViews>
    <sheetView zoomScaleNormal="100" workbookViewId="0"/>
  </sheetViews>
  <sheetFormatPr defaultColWidth="10.85546875" defaultRowHeight="12"/>
  <cols>
    <col min="1" max="1" width="13.7109375" style="993" customWidth="1"/>
    <col min="2" max="2" width="15.140625" style="999" customWidth="1"/>
    <col min="3" max="3" width="0.85546875" style="993" customWidth="1"/>
    <col min="4" max="4" width="13.42578125" style="999" customWidth="1"/>
    <col min="5" max="5" width="1.5703125" style="993" customWidth="1"/>
    <col min="6" max="6" width="14.42578125" style="999" customWidth="1"/>
    <col min="7" max="7" width="0.85546875" style="993" customWidth="1"/>
    <col min="8" max="8" width="12" style="999" customWidth="1"/>
    <col min="9" max="9" width="0.7109375" style="993" customWidth="1"/>
    <col min="10" max="10" width="13.42578125" style="999" customWidth="1"/>
    <col min="11" max="11" width="0.85546875" style="993" customWidth="1"/>
    <col min="12" max="12" width="11" style="999" customWidth="1"/>
    <col min="13" max="13" width="1.5703125" style="993" customWidth="1"/>
    <col min="14" max="14" width="14.42578125" style="999" customWidth="1"/>
    <col min="15" max="15" width="0.85546875" style="993" customWidth="1"/>
    <col min="16" max="16" width="12" style="999" customWidth="1"/>
    <col min="17" max="18" width="7.140625" style="996" customWidth="1"/>
    <col min="19" max="22" width="7.85546875" style="996" bestFit="1" customWidth="1"/>
    <col min="23" max="24" width="7.140625" style="996" customWidth="1"/>
    <col min="25" max="16384" width="10.85546875" style="993"/>
  </cols>
  <sheetData>
    <row r="1" spans="1:24" s="1006" customFormat="1" ht="15">
      <c r="A1" s="1039" t="s">
        <v>1088</v>
      </c>
      <c r="B1" s="1040"/>
      <c r="D1" s="1040"/>
      <c r="F1" s="1040"/>
      <c r="H1" s="1040"/>
      <c r="J1" s="1040"/>
      <c r="L1" s="1040"/>
      <c r="N1" s="1040"/>
      <c r="P1" s="1040"/>
      <c r="Q1" s="1010"/>
      <c r="R1" s="1010"/>
      <c r="S1" s="1010"/>
      <c r="T1" s="1010"/>
      <c r="U1" s="1010"/>
      <c r="V1" s="1010"/>
      <c r="W1" s="1010"/>
      <c r="X1" s="1010"/>
    </row>
    <row r="2" spans="1:24" s="1006" customFormat="1" ht="12.75">
      <c r="A2" s="1041" t="s">
        <v>1089</v>
      </c>
      <c r="B2" s="1042"/>
      <c r="C2" s="1042"/>
      <c r="D2" s="1042"/>
      <c r="E2" s="1042"/>
      <c r="F2" s="1042"/>
      <c r="G2" s="1042"/>
      <c r="H2" s="1042"/>
      <c r="I2" s="1042"/>
      <c r="J2" s="1042"/>
      <c r="K2" s="1042"/>
      <c r="L2" s="1042"/>
      <c r="M2" s="1042"/>
      <c r="N2" s="1042"/>
      <c r="O2" s="1042"/>
      <c r="P2" s="1042"/>
      <c r="Q2" s="1043"/>
      <c r="R2" s="1043"/>
      <c r="S2" s="1043"/>
      <c r="T2" s="1043"/>
      <c r="U2" s="1043"/>
      <c r="V2" s="1043"/>
      <c r="W2" s="1043"/>
      <c r="X2" s="1043"/>
    </row>
    <row r="3" spans="1:24" ht="12.75">
      <c r="A3" s="1217" t="s">
        <v>1167</v>
      </c>
      <c r="B3" s="1216"/>
      <c r="C3" s="1216"/>
      <c r="D3" s="1216"/>
      <c r="E3" s="1216"/>
      <c r="F3" s="1216"/>
      <c r="G3" s="1216"/>
      <c r="H3" s="1216"/>
      <c r="I3" s="1216"/>
      <c r="J3" s="1216"/>
      <c r="K3" s="1216"/>
      <c r="L3" s="1216"/>
      <c r="M3" s="1216"/>
      <c r="N3" s="1216"/>
      <c r="O3" s="1216"/>
      <c r="P3" s="1216"/>
      <c r="Q3" s="1044"/>
      <c r="R3" s="1044"/>
      <c r="S3" s="1044"/>
      <c r="T3" s="1044"/>
      <c r="U3" s="1044"/>
      <c r="V3" s="1044"/>
      <c r="W3" s="1044"/>
      <c r="X3" s="1044"/>
    </row>
    <row r="4" spans="1:24" ht="11.25" customHeight="1" thickBot="1">
      <c r="A4" s="1013"/>
      <c r="B4" s="1007"/>
      <c r="C4" s="1007"/>
      <c r="D4" s="1007"/>
      <c r="E4" s="1007"/>
      <c r="F4" s="1007"/>
      <c r="G4" s="1007"/>
      <c r="H4" s="1007"/>
      <c r="I4" s="1007"/>
      <c r="J4" s="1007"/>
      <c r="K4" s="1007"/>
      <c r="L4" s="1007"/>
      <c r="M4" s="1007"/>
      <c r="N4" s="1007"/>
      <c r="O4" s="1007"/>
      <c r="P4" s="1007"/>
      <c r="Q4" s="1044"/>
      <c r="R4" s="1044"/>
      <c r="S4" s="1044"/>
      <c r="T4" s="1044"/>
      <c r="U4" s="1044"/>
      <c r="V4" s="1044"/>
      <c r="W4" s="1044"/>
      <c r="X4" s="1044"/>
    </row>
    <row r="5" spans="1:24" ht="14.25" customHeight="1">
      <c r="A5" s="1006"/>
      <c r="B5" s="1400" t="s">
        <v>1090</v>
      </c>
      <c r="C5" s="1400"/>
      <c r="D5" s="1400"/>
      <c r="E5" s="1006"/>
      <c r="F5" s="1400" t="s">
        <v>1091</v>
      </c>
      <c r="G5" s="1400"/>
      <c r="H5" s="1400"/>
      <c r="I5" s="1006"/>
      <c r="J5" s="1400" t="s">
        <v>1092</v>
      </c>
      <c r="K5" s="1400"/>
      <c r="L5" s="1400"/>
      <c r="M5" s="1006"/>
      <c r="N5" s="1400" t="s">
        <v>1093</v>
      </c>
      <c r="O5" s="1400"/>
      <c r="P5" s="1400"/>
      <c r="Q5" s="1045"/>
      <c r="R5" s="1045"/>
      <c r="S5" s="1045"/>
      <c r="T5" s="1045"/>
      <c r="U5" s="1045"/>
      <c r="V5" s="1045"/>
      <c r="W5" s="1045"/>
      <c r="X5" s="1045"/>
    </row>
    <row r="6" spans="1:24" ht="12" customHeight="1">
      <c r="A6" s="1046" t="s">
        <v>23</v>
      </c>
      <c r="B6" s="1047" t="s">
        <v>1094</v>
      </c>
      <c r="C6" s="1046"/>
      <c r="D6" s="1047" t="s">
        <v>1095</v>
      </c>
      <c r="E6" s="1016"/>
      <c r="F6" s="1047" t="s">
        <v>1094</v>
      </c>
      <c r="G6" s="1016"/>
      <c r="H6" s="1047" t="s">
        <v>1095</v>
      </c>
      <c r="I6" s="1016"/>
      <c r="J6" s="1047" t="s">
        <v>1094</v>
      </c>
      <c r="K6" s="1016"/>
      <c r="L6" s="1047" t="s">
        <v>1095</v>
      </c>
      <c r="M6" s="1016"/>
      <c r="N6" s="1047" t="s">
        <v>1094</v>
      </c>
      <c r="O6" s="1016"/>
      <c r="P6" s="1047" t="s">
        <v>1095</v>
      </c>
      <c r="Q6" s="1048"/>
      <c r="R6" s="1048"/>
      <c r="S6" s="1048"/>
      <c r="T6" s="1048"/>
      <c r="U6" s="1048"/>
      <c r="V6" s="1048"/>
      <c r="W6" s="1048"/>
      <c r="X6" s="1048"/>
    </row>
    <row r="7" spans="1:24" ht="8.25" customHeight="1"/>
    <row r="8" spans="1:24" ht="12" customHeight="1">
      <c r="A8" s="993" t="s">
        <v>78</v>
      </c>
      <c r="B8" s="1049">
        <v>375448134</v>
      </c>
      <c r="C8" s="1050"/>
      <c r="D8" s="1049">
        <v>11880295</v>
      </c>
      <c r="E8" s="1050"/>
      <c r="F8" s="1049">
        <v>23821929</v>
      </c>
      <c r="G8" s="1050"/>
      <c r="H8" s="1049">
        <v>886703</v>
      </c>
      <c r="I8" s="1050"/>
      <c r="J8" s="1049">
        <v>0</v>
      </c>
      <c r="K8" s="1050"/>
      <c r="L8" s="1049">
        <v>0</v>
      </c>
      <c r="M8" s="1050"/>
      <c r="N8" s="1049">
        <v>462414985</v>
      </c>
      <c r="O8" s="1050"/>
      <c r="P8" s="1051">
        <v>2867116</v>
      </c>
      <c r="Q8" s="1052"/>
      <c r="R8" s="1052"/>
      <c r="S8" s="1052"/>
      <c r="T8" s="1052"/>
      <c r="U8" s="1052"/>
      <c r="V8" s="1052"/>
      <c r="W8" s="1052"/>
      <c r="X8" s="1052"/>
    </row>
    <row r="9" spans="1:24" ht="12" customHeight="1">
      <c r="A9" s="993" t="s">
        <v>80</v>
      </c>
      <c r="B9" s="1053">
        <v>1212930334.5</v>
      </c>
      <c r="C9" s="1054"/>
      <c r="D9" s="1053">
        <v>47404517.059999995</v>
      </c>
      <c r="E9" s="1054"/>
      <c r="F9" s="1053">
        <v>18476311</v>
      </c>
      <c r="G9" s="1054"/>
      <c r="H9" s="1053">
        <v>790786.12</v>
      </c>
      <c r="I9" s="1054"/>
      <c r="J9" s="1053">
        <v>0</v>
      </c>
      <c r="K9" s="1054"/>
      <c r="L9" s="1053">
        <v>0</v>
      </c>
      <c r="M9" s="1054"/>
      <c r="N9" s="1053">
        <v>460969187.5</v>
      </c>
      <c r="O9" s="1054"/>
      <c r="P9" s="1055">
        <v>3960449.14</v>
      </c>
      <c r="Q9" s="1052"/>
      <c r="R9" s="1052"/>
      <c r="S9" s="1052"/>
      <c r="T9" s="1052"/>
      <c r="U9" s="1052"/>
      <c r="V9" s="1052"/>
      <c r="W9" s="1052"/>
      <c r="X9" s="1052"/>
    </row>
    <row r="10" spans="1:24" ht="12" customHeight="1">
      <c r="A10" s="993" t="s">
        <v>82</v>
      </c>
      <c r="B10" s="1053">
        <v>144692925</v>
      </c>
      <c r="C10" s="1054"/>
      <c r="D10" s="1053">
        <v>4244428.41</v>
      </c>
      <c r="E10" s="1054"/>
      <c r="F10" s="1053">
        <v>185257582</v>
      </c>
      <c r="G10" s="1054"/>
      <c r="H10" s="1053">
        <v>5520675.9500000002</v>
      </c>
      <c r="I10" s="1054"/>
      <c r="J10" s="1053">
        <v>0</v>
      </c>
      <c r="K10" s="1054"/>
      <c r="L10" s="1053">
        <v>0</v>
      </c>
      <c r="M10" s="1054"/>
      <c r="N10" s="1053">
        <v>190132613</v>
      </c>
      <c r="O10" s="1054"/>
      <c r="P10" s="1055">
        <v>1389172.49</v>
      </c>
      <c r="Q10" s="1052"/>
      <c r="R10" s="1052"/>
      <c r="S10" s="1052"/>
      <c r="T10" s="1052"/>
      <c r="U10" s="1052"/>
      <c r="V10" s="1052"/>
      <c r="W10" s="1052"/>
      <c r="X10" s="1052"/>
    </row>
    <row r="11" spans="1:24" ht="12" customHeight="1">
      <c r="A11" s="993" t="s">
        <v>84</v>
      </c>
      <c r="B11" s="1053">
        <v>103033872</v>
      </c>
      <c r="C11" s="1054"/>
      <c r="D11" s="1053">
        <v>4144563.0589999999</v>
      </c>
      <c r="E11" s="1054"/>
      <c r="F11" s="1053">
        <v>6391875</v>
      </c>
      <c r="G11" s="1054"/>
      <c r="H11" s="1053">
        <v>63918.75</v>
      </c>
      <c r="I11" s="1054"/>
      <c r="J11" s="1053">
        <v>0</v>
      </c>
      <c r="K11" s="1054"/>
      <c r="L11" s="1053">
        <v>0</v>
      </c>
      <c r="M11" s="1054"/>
      <c r="N11" s="1053">
        <v>59148370</v>
      </c>
      <c r="O11" s="1054"/>
      <c r="P11" s="1055">
        <v>288391.74</v>
      </c>
      <c r="Q11" s="1052"/>
      <c r="R11" s="1052"/>
      <c r="S11" s="1052"/>
      <c r="T11" s="1052"/>
      <c r="U11" s="1052"/>
      <c r="V11" s="1052"/>
      <c r="W11" s="1052"/>
      <c r="X11" s="1052"/>
    </row>
    <row r="12" spans="1:24" ht="12" customHeight="1">
      <c r="A12" s="993" t="s">
        <v>86</v>
      </c>
      <c r="B12" s="1053">
        <v>280615933</v>
      </c>
      <c r="C12" s="1054"/>
      <c r="D12" s="1053">
        <v>9338390.6799999997</v>
      </c>
      <c r="E12" s="1054"/>
      <c r="F12" s="1053">
        <v>106547800</v>
      </c>
      <c r="G12" s="1054"/>
      <c r="H12" s="1053">
        <v>2130956</v>
      </c>
      <c r="I12" s="1054"/>
      <c r="J12" s="1053">
        <v>8391240</v>
      </c>
      <c r="K12" s="1054"/>
      <c r="L12" s="1053">
        <v>331453.98</v>
      </c>
      <c r="M12" s="1054"/>
      <c r="N12" s="1053">
        <v>114637911</v>
      </c>
      <c r="O12" s="1054"/>
      <c r="P12" s="1055">
        <v>699404.97</v>
      </c>
      <c r="Q12" s="1052"/>
      <c r="R12" s="1052"/>
      <c r="S12" s="1052"/>
      <c r="T12" s="1052"/>
      <c r="U12" s="1052"/>
      <c r="V12" s="1052"/>
      <c r="W12" s="1052"/>
      <c r="X12" s="1052"/>
    </row>
    <row r="13" spans="1:24" ht="8.25" customHeight="1">
      <c r="B13" s="1053"/>
      <c r="C13" s="1054"/>
      <c r="D13" s="1053"/>
      <c r="E13" s="1054"/>
      <c r="F13" s="1053"/>
      <c r="G13" s="1054"/>
      <c r="H13" s="1053"/>
      <c r="I13" s="1054"/>
      <c r="J13" s="1053"/>
      <c r="K13" s="1054"/>
      <c r="L13" s="1053"/>
      <c r="M13" s="1054"/>
      <c r="N13" s="1053"/>
      <c r="O13" s="1054"/>
      <c r="P13" s="1055"/>
      <c r="Q13" s="1052"/>
      <c r="R13" s="1052"/>
      <c r="S13" s="1052"/>
      <c r="T13" s="1052"/>
      <c r="U13" s="1052"/>
      <c r="V13" s="1052"/>
      <c r="W13" s="1052"/>
      <c r="X13" s="1052"/>
    </row>
    <row r="14" spans="1:24" ht="12" customHeight="1">
      <c r="A14" s="993" t="s">
        <v>88</v>
      </c>
      <c r="B14" s="1053">
        <v>155789121</v>
      </c>
      <c r="C14" s="1054"/>
      <c r="D14" s="1053">
        <v>4978028.7300000004</v>
      </c>
      <c r="E14" s="1054"/>
      <c r="F14" s="1053">
        <v>2768153</v>
      </c>
      <c r="G14" s="1054"/>
      <c r="H14" s="1053">
        <v>92733.14</v>
      </c>
      <c r="I14" s="1054"/>
      <c r="J14" s="1053">
        <v>13954156</v>
      </c>
      <c r="K14" s="1054"/>
      <c r="L14" s="1053">
        <v>139541.56</v>
      </c>
      <c r="M14" s="1054"/>
      <c r="N14" s="1053">
        <v>122205825</v>
      </c>
      <c r="O14" s="1054"/>
      <c r="P14" s="1055">
        <v>816687.71</v>
      </c>
      <c r="Q14" s="1052"/>
      <c r="R14" s="1052"/>
      <c r="S14" s="1052"/>
      <c r="T14" s="1052"/>
      <c r="U14" s="1052"/>
      <c r="V14" s="1052"/>
      <c r="W14" s="1052"/>
      <c r="X14" s="1052"/>
    </row>
    <row r="15" spans="1:24" ht="12" customHeight="1">
      <c r="A15" s="993" t="s">
        <v>1189</v>
      </c>
      <c r="B15" s="1053">
        <v>176265400</v>
      </c>
      <c r="C15" s="1054"/>
      <c r="D15" s="1053">
        <v>202881.4754</v>
      </c>
      <c r="E15" s="1054"/>
      <c r="F15" s="1053">
        <v>0</v>
      </c>
      <c r="G15" s="1054"/>
      <c r="H15" s="1053">
        <v>0</v>
      </c>
      <c r="I15" s="1054"/>
      <c r="J15" s="1053">
        <v>0</v>
      </c>
      <c r="K15" s="1054"/>
      <c r="L15" s="1053">
        <v>0</v>
      </c>
      <c r="M15" s="1054"/>
      <c r="N15" s="1053">
        <v>0</v>
      </c>
      <c r="O15" s="1054"/>
      <c r="P15" s="1055">
        <v>0</v>
      </c>
      <c r="Q15" s="1052"/>
      <c r="R15" s="1052"/>
      <c r="S15" s="1052"/>
      <c r="T15" s="1052"/>
      <c r="U15" s="1052"/>
      <c r="V15" s="1052"/>
      <c r="W15" s="1052"/>
      <c r="X15" s="1052"/>
    </row>
    <row r="16" spans="1:24" ht="12" customHeight="1">
      <c r="A16" s="993" t="s">
        <v>92</v>
      </c>
      <c r="B16" s="1053">
        <v>757708190</v>
      </c>
      <c r="C16" s="1054"/>
      <c r="D16" s="1053">
        <v>17719021.600000001</v>
      </c>
      <c r="E16" s="1054"/>
      <c r="F16" s="1053">
        <v>233718440</v>
      </c>
      <c r="G16" s="1054"/>
      <c r="H16" s="1053">
        <v>4674368.8</v>
      </c>
      <c r="I16" s="1054"/>
      <c r="J16" s="1053">
        <v>0</v>
      </c>
      <c r="K16" s="1054"/>
      <c r="L16" s="1053">
        <v>0</v>
      </c>
      <c r="M16" s="1054"/>
      <c r="N16" s="1053">
        <v>452604820</v>
      </c>
      <c r="O16" s="1054"/>
      <c r="P16" s="1055">
        <v>2866800.5349999997</v>
      </c>
      <c r="Q16" s="1052"/>
      <c r="R16" s="1052"/>
      <c r="S16" s="1052"/>
      <c r="T16" s="1052"/>
      <c r="U16" s="1052"/>
      <c r="V16" s="1052"/>
      <c r="W16" s="1052"/>
      <c r="X16" s="1052"/>
    </row>
    <row r="17" spans="1:24" ht="12" customHeight="1">
      <c r="A17" s="993" t="s">
        <v>94</v>
      </c>
      <c r="B17" s="1053">
        <v>62539400</v>
      </c>
      <c r="C17" s="1054"/>
      <c r="D17" s="1053">
        <v>219127.45</v>
      </c>
      <c r="E17" s="1054"/>
      <c r="F17" s="1053">
        <v>4911200</v>
      </c>
      <c r="G17" s="1054"/>
      <c r="H17" s="1053">
        <v>17189.2</v>
      </c>
      <c r="I17" s="1054"/>
      <c r="J17" s="1053">
        <v>0</v>
      </c>
      <c r="K17" s="1054"/>
      <c r="L17" s="1053">
        <v>0</v>
      </c>
      <c r="M17" s="1054"/>
      <c r="N17" s="1053">
        <v>1385637012</v>
      </c>
      <c r="O17" s="1054"/>
      <c r="P17" s="1055">
        <v>6926429.4000000004</v>
      </c>
      <c r="Q17" s="1052"/>
      <c r="R17" s="1052"/>
      <c r="S17" s="1052"/>
      <c r="T17" s="1052"/>
      <c r="U17" s="1052"/>
      <c r="V17" s="1052"/>
      <c r="W17" s="1052"/>
      <c r="X17" s="1052"/>
    </row>
    <row r="18" spans="1:24" ht="12" customHeight="1">
      <c r="A18" s="993" t="s">
        <v>1060</v>
      </c>
      <c r="B18" s="1053">
        <v>1050347399</v>
      </c>
      <c r="C18" s="1054"/>
      <c r="D18" s="1053">
        <v>23365557</v>
      </c>
      <c r="E18" s="1054"/>
      <c r="F18" s="1053">
        <v>338140901</v>
      </c>
      <c r="G18" s="1054"/>
      <c r="H18" s="1053">
        <v>4057690</v>
      </c>
      <c r="I18" s="1054"/>
      <c r="J18" s="1053">
        <v>0</v>
      </c>
      <c r="K18" s="1054"/>
      <c r="L18" s="1053">
        <v>0</v>
      </c>
      <c r="M18" s="1054"/>
      <c r="N18" s="1053">
        <v>338030874</v>
      </c>
      <c r="O18" s="1054"/>
      <c r="P18" s="1055">
        <v>1691680</v>
      </c>
      <c r="Q18" s="1052"/>
      <c r="R18" s="1052"/>
      <c r="S18" s="1052"/>
      <c r="T18" s="1052"/>
      <c r="U18" s="1052"/>
      <c r="V18" s="1052"/>
      <c r="W18" s="1052"/>
      <c r="X18" s="1052"/>
    </row>
    <row r="19" spans="1:24" ht="8.25" customHeight="1">
      <c r="B19" s="1053"/>
      <c r="C19" s="1056"/>
      <c r="D19" s="1053"/>
      <c r="E19" s="1056"/>
      <c r="F19" s="1053"/>
      <c r="G19" s="1056"/>
      <c r="H19" s="1053"/>
      <c r="I19" s="1056"/>
      <c r="J19" s="1053"/>
      <c r="K19" s="1056"/>
      <c r="L19" s="1053"/>
      <c r="M19" s="1056"/>
      <c r="N19" s="1053"/>
      <c r="O19" s="1056"/>
      <c r="P19" s="1055"/>
      <c r="Q19" s="1052"/>
      <c r="R19" s="1052"/>
      <c r="S19" s="1052"/>
      <c r="T19" s="1052"/>
      <c r="U19" s="1052"/>
      <c r="V19" s="1052"/>
      <c r="W19" s="1052"/>
      <c r="X19" s="1052"/>
    </row>
    <row r="20" spans="1:24" ht="12" customHeight="1">
      <c r="A20" s="993" t="s">
        <v>97</v>
      </c>
      <c r="B20" s="1053">
        <v>73336876</v>
      </c>
      <c r="C20" s="1054"/>
      <c r="D20" s="1053">
        <v>1613173.94</v>
      </c>
      <c r="E20" s="1054"/>
      <c r="F20" s="1053">
        <v>28110787</v>
      </c>
      <c r="G20" s="1054"/>
      <c r="H20" s="1053">
        <v>250186.02</v>
      </c>
      <c r="I20" s="1054"/>
      <c r="J20" s="1053">
        <v>22753443</v>
      </c>
      <c r="K20" s="1054"/>
      <c r="L20" s="1053">
        <v>166100.17000000001</v>
      </c>
      <c r="M20" s="1054"/>
      <c r="N20" s="1053">
        <v>99214574</v>
      </c>
      <c r="O20" s="1054"/>
      <c r="P20" s="1055">
        <v>595287.44999999995</v>
      </c>
      <c r="Q20" s="1052"/>
      <c r="R20" s="1052"/>
      <c r="S20" s="1052"/>
      <c r="T20" s="1052"/>
      <c r="U20" s="1052"/>
      <c r="V20" s="1052"/>
      <c r="W20" s="1052"/>
      <c r="X20" s="1052"/>
    </row>
    <row r="21" spans="1:24" ht="12" customHeight="1">
      <c r="A21" s="993" t="s">
        <v>99</v>
      </c>
      <c r="B21" s="1053">
        <v>356839104</v>
      </c>
      <c r="C21" s="1054"/>
      <c r="D21" s="1053">
        <v>9545365.1711999997</v>
      </c>
      <c r="E21" s="1054"/>
      <c r="F21" s="1053">
        <v>246466871</v>
      </c>
      <c r="G21" s="1054"/>
      <c r="H21" s="1053">
        <v>4436403.6780000003</v>
      </c>
      <c r="I21" s="1054"/>
      <c r="J21" s="1053">
        <v>0</v>
      </c>
      <c r="K21" s="1054"/>
      <c r="L21" s="1053">
        <v>0</v>
      </c>
      <c r="M21" s="1054"/>
      <c r="N21" s="1053">
        <v>394237249</v>
      </c>
      <c r="O21" s="1054"/>
      <c r="P21" s="1055">
        <v>3119289.5887000002</v>
      </c>
      <c r="Q21" s="1052"/>
      <c r="R21" s="1052"/>
      <c r="S21" s="1052"/>
      <c r="T21" s="1052"/>
      <c r="U21" s="1052"/>
      <c r="V21" s="1052"/>
      <c r="W21" s="1052"/>
      <c r="X21" s="1052"/>
    </row>
    <row r="22" spans="1:24" ht="12" customHeight="1">
      <c r="A22" s="993" t="s">
        <v>101</v>
      </c>
      <c r="B22" s="1053">
        <v>128117385</v>
      </c>
      <c r="C22" s="1054"/>
      <c r="D22" s="1053">
        <v>4442601.3899999997</v>
      </c>
      <c r="E22" s="1054"/>
      <c r="F22" s="1053">
        <v>19495420</v>
      </c>
      <c r="G22" s="1054"/>
      <c r="H22" s="1053">
        <v>662844.28</v>
      </c>
      <c r="I22" s="1054"/>
      <c r="J22" s="1053">
        <v>0</v>
      </c>
      <c r="K22" s="1054"/>
      <c r="L22" s="1053">
        <v>0</v>
      </c>
      <c r="M22" s="1054"/>
      <c r="N22" s="1053">
        <v>1024761593</v>
      </c>
      <c r="O22" s="1054"/>
      <c r="P22" s="1055">
        <v>5431695.1799999997</v>
      </c>
      <c r="Q22" s="1052"/>
      <c r="R22" s="1052"/>
      <c r="S22" s="1052"/>
      <c r="T22" s="1052"/>
      <c r="U22" s="1052"/>
      <c r="V22" s="1052"/>
      <c r="W22" s="1052"/>
      <c r="X22" s="1052"/>
    </row>
    <row r="23" spans="1:24" ht="12" customHeight="1">
      <c r="A23" s="993" t="s">
        <v>103</v>
      </c>
      <c r="B23" s="1053">
        <v>238229628</v>
      </c>
      <c r="C23" s="1054"/>
      <c r="D23" s="1053">
        <v>4384867.6871999996</v>
      </c>
      <c r="E23" s="1054"/>
      <c r="F23" s="1053">
        <v>271126122</v>
      </c>
      <c r="G23" s="1054"/>
      <c r="H23" s="1053">
        <v>670696.37699999998</v>
      </c>
      <c r="I23" s="1054"/>
      <c r="J23" s="1053">
        <v>3602843</v>
      </c>
      <c r="K23" s="1054"/>
      <c r="L23" s="1053">
        <v>72056.86</v>
      </c>
      <c r="M23" s="1054"/>
      <c r="N23" s="1053">
        <v>158170042</v>
      </c>
      <c r="O23" s="1054"/>
      <c r="P23" s="1055">
        <v>620560.62589999998</v>
      </c>
      <c r="Q23" s="1052"/>
      <c r="R23" s="1052"/>
      <c r="S23" s="1052"/>
      <c r="T23" s="1052"/>
      <c r="U23" s="1052"/>
      <c r="V23" s="1052"/>
      <c r="W23" s="1052"/>
      <c r="X23" s="1052"/>
    </row>
    <row r="24" spans="1:24" ht="12" customHeight="1">
      <c r="A24" s="993" t="s">
        <v>105</v>
      </c>
      <c r="B24" s="1053">
        <v>118984597</v>
      </c>
      <c r="C24" s="1054"/>
      <c r="D24" s="1053">
        <v>4470429.82</v>
      </c>
      <c r="E24" s="1054"/>
      <c r="F24" s="1053">
        <v>9010020</v>
      </c>
      <c r="G24" s="1054"/>
      <c r="H24" s="1053">
        <v>261290.58</v>
      </c>
      <c r="I24" s="1054"/>
      <c r="J24" s="1053">
        <v>18530910</v>
      </c>
      <c r="K24" s="1054"/>
      <c r="L24" s="1053">
        <v>185309.1</v>
      </c>
      <c r="M24" s="1054"/>
      <c r="N24" s="1053">
        <v>610816192</v>
      </c>
      <c r="O24" s="1054"/>
      <c r="P24" s="1055">
        <v>3361203.29</v>
      </c>
      <c r="Q24" s="1052"/>
      <c r="R24" s="1052"/>
      <c r="S24" s="1052"/>
      <c r="T24" s="1052"/>
      <c r="U24" s="1052"/>
      <c r="V24" s="1052"/>
      <c r="W24" s="1052"/>
      <c r="X24" s="1052"/>
    </row>
    <row r="25" spans="1:24" ht="8.25" customHeight="1">
      <c r="B25" s="1053"/>
      <c r="C25" s="1054"/>
      <c r="D25" s="1053"/>
      <c r="E25" s="1054"/>
      <c r="F25" s="1053"/>
      <c r="G25" s="1054"/>
      <c r="H25" s="1053"/>
      <c r="I25" s="1054"/>
      <c r="J25" s="1053"/>
      <c r="K25" s="1054"/>
      <c r="L25" s="1053"/>
      <c r="M25" s="1054"/>
      <c r="N25" s="1053"/>
      <c r="O25" s="1054"/>
      <c r="P25" s="1055"/>
      <c r="Q25" s="1052"/>
      <c r="R25" s="1052"/>
      <c r="S25" s="1052"/>
      <c r="T25" s="1052"/>
      <c r="U25" s="1052"/>
      <c r="V25" s="1052"/>
      <c r="W25" s="1052"/>
      <c r="X25" s="1052"/>
    </row>
    <row r="26" spans="1:24" ht="12" customHeight="1">
      <c r="A26" s="993" t="s">
        <v>107</v>
      </c>
      <c r="B26" s="1053">
        <v>404157393</v>
      </c>
      <c r="C26" s="1054"/>
      <c r="D26" s="1053">
        <v>16408017.509999998</v>
      </c>
      <c r="E26" s="1054"/>
      <c r="F26" s="1053">
        <v>189522060</v>
      </c>
      <c r="G26" s="1054"/>
      <c r="H26" s="1053">
        <v>6159467</v>
      </c>
      <c r="I26" s="1054"/>
      <c r="J26" s="1053">
        <v>0</v>
      </c>
      <c r="K26" s="1054"/>
      <c r="L26" s="1053">
        <v>0</v>
      </c>
      <c r="M26" s="1054"/>
      <c r="N26" s="1053">
        <v>412378444</v>
      </c>
      <c r="O26" s="1054"/>
      <c r="P26" s="1055">
        <v>2184958.5300000003</v>
      </c>
      <c r="Q26" s="1052"/>
      <c r="R26" s="1052"/>
      <c r="S26" s="1052"/>
      <c r="T26" s="1052"/>
      <c r="U26" s="1052"/>
      <c r="V26" s="1052"/>
      <c r="W26" s="1052"/>
      <c r="X26" s="1052"/>
    </row>
    <row r="27" spans="1:24" ht="12" customHeight="1">
      <c r="A27" s="993" t="s">
        <v>109</v>
      </c>
      <c r="B27" s="1053">
        <v>337038736</v>
      </c>
      <c r="C27" s="1054"/>
      <c r="D27" s="1053">
        <v>12598383.004999999</v>
      </c>
      <c r="E27" s="1054"/>
      <c r="F27" s="1053">
        <v>7735500</v>
      </c>
      <c r="G27" s="1054"/>
      <c r="H27" s="1053">
        <v>270742.5</v>
      </c>
      <c r="I27" s="1054"/>
      <c r="J27" s="1053">
        <v>0</v>
      </c>
      <c r="K27" s="1054"/>
      <c r="L27" s="1053">
        <v>0</v>
      </c>
      <c r="M27" s="1054"/>
      <c r="N27" s="1053">
        <v>418038530</v>
      </c>
      <c r="O27" s="1054"/>
      <c r="P27" s="1055">
        <v>3550869.6732999999</v>
      </c>
      <c r="Q27" s="1052"/>
      <c r="R27" s="1052"/>
      <c r="S27" s="1052"/>
      <c r="T27" s="1052"/>
      <c r="U27" s="1052"/>
      <c r="V27" s="1052"/>
      <c r="W27" s="1052"/>
      <c r="X27" s="1052"/>
    </row>
    <row r="28" spans="1:24" ht="12" customHeight="1">
      <c r="A28" s="993" t="s">
        <v>111</v>
      </c>
      <c r="B28" s="1053">
        <v>297040170</v>
      </c>
      <c r="C28" s="1054"/>
      <c r="D28" s="1053">
        <v>5636949.0999999996</v>
      </c>
      <c r="E28" s="1054"/>
      <c r="F28" s="1053">
        <v>55356480</v>
      </c>
      <c r="G28" s="1054"/>
      <c r="H28" s="1053">
        <v>968738.61</v>
      </c>
      <c r="I28" s="1054"/>
      <c r="J28" s="1053">
        <v>33517105</v>
      </c>
      <c r="K28" s="1054"/>
      <c r="L28" s="1053">
        <v>231268.18</v>
      </c>
      <c r="M28" s="1054"/>
      <c r="N28" s="1053">
        <v>137102552</v>
      </c>
      <c r="O28" s="1054"/>
      <c r="P28" s="1055">
        <v>959536.69000000006</v>
      </c>
      <c r="Q28" s="1052"/>
      <c r="R28" s="1052"/>
      <c r="S28" s="1052"/>
      <c r="T28" s="1052"/>
      <c r="U28" s="1052"/>
      <c r="V28" s="1052"/>
      <c r="W28" s="1052"/>
      <c r="X28" s="1052"/>
    </row>
    <row r="29" spans="1:24" ht="12" customHeight="1">
      <c r="A29" s="993" t="s">
        <v>113</v>
      </c>
      <c r="B29" s="1053">
        <v>90537583</v>
      </c>
      <c r="C29" s="1054"/>
      <c r="D29" s="1053">
        <v>3343862.58</v>
      </c>
      <c r="E29" s="1054"/>
      <c r="F29" s="1053">
        <v>6846927</v>
      </c>
      <c r="G29" s="1054"/>
      <c r="H29" s="1053">
        <v>205407.81</v>
      </c>
      <c r="I29" s="1054"/>
      <c r="J29" s="1053">
        <v>630926</v>
      </c>
      <c r="K29" s="1054"/>
      <c r="L29" s="1053">
        <v>17665.928</v>
      </c>
      <c r="M29" s="1054"/>
      <c r="N29" s="1053">
        <v>159541859</v>
      </c>
      <c r="O29" s="1054"/>
      <c r="P29" s="1055">
        <v>1212518.1284</v>
      </c>
      <c r="Q29" s="1052"/>
      <c r="R29" s="1052"/>
      <c r="S29" s="1052"/>
      <c r="T29" s="1052"/>
      <c r="U29" s="1052"/>
      <c r="V29" s="1052"/>
      <c r="W29" s="1052"/>
      <c r="X29" s="1052"/>
    </row>
    <row r="30" spans="1:24" ht="12" customHeight="1">
      <c r="A30" s="993" t="s">
        <v>115</v>
      </c>
      <c r="B30" s="1053">
        <v>112073326.40000001</v>
      </c>
      <c r="C30" s="1054"/>
      <c r="D30" s="1053">
        <v>4289863.9290999994</v>
      </c>
      <c r="E30" s="1054"/>
      <c r="F30" s="1053">
        <v>18046727.809999999</v>
      </c>
      <c r="G30" s="1054"/>
      <c r="H30" s="1053">
        <v>541401.83429999987</v>
      </c>
      <c r="I30" s="1054"/>
      <c r="J30" s="1053">
        <v>0</v>
      </c>
      <c r="K30" s="1054"/>
      <c r="L30" s="1053">
        <v>0</v>
      </c>
      <c r="M30" s="1054"/>
      <c r="N30" s="1053">
        <v>94277236</v>
      </c>
      <c r="O30" s="1054"/>
      <c r="P30" s="1055">
        <v>584518.86320000002</v>
      </c>
      <c r="Q30" s="1052"/>
      <c r="R30" s="1052"/>
      <c r="S30" s="1052"/>
      <c r="T30" s="1052"/>
      <c r="U30" s="1052"/>
      <c r="V30" s="1052"/>
      <c r="W30" s="1052"/>
      <c r="X30" s="1052"/>
    </row>
    <row r="31" spans="1:24" ht="8.25" customHeight="1">
      <c r="B31" s="1053"/>
      <c r="C31" s="1056"/>
      <c r="D31" s="1053"/>
      <c r="E31" s="1056"/>
      <c r="F31" s="1053"/>
      <c r="G31" s="1056"/>
      <c r="H31" s="1053"/>
      <c r="I31" s="1056"/>
      <c r="J31" s="1053"/>
      <c r="K31" s="1056"/>
      <c r="L31" s="1053"/>
      <c r="M31" s="1056"/>
      <c r="N31" s="1053"/>
      <c r="O31" s="1056"/>
      <c r="P31" s="1055"/>
      <c r="Q31" s="1052"/>
      <c r="R31" s="1052"/>
      <c r="S31" s="1052"/>
      <c r="T31" s="1052"/>
      <c r="U31" s="1052"/>
      <c r="V31" s="1052"/>
      <c r="W31" s="1052"/>
      <c r="X31" s="1052"/>
    </row>
    <row r="32" spans="1:24" ht="12" customHeight="1">
      <c r="A32" s="993" t="s">
        <v>117</v>
      </c>
      <c r="B32" s="1053">
        <v>4468795582</v>
      </c>
      <c r="C32" s="1054"/>
      <c r="D32" s="1053">
        <v>90912879.810000002</v>
      </c>
      <c r="E32" s="1054"/>
      <c r="F32" s="1053">
        <v>530677724</v>
      </c>
      <c r="G32" s="1054"/>
      <c r="H32" s="1053">
        <v>5306778</v>
      </c>
      <c r="I32" s="1054"/>
      <c r="J32" s="1053">
        <v>0</v>
      </c>
      <c r="K32" s="1054"/>
      <c r="L32" s="1053">
        <v>0</v>
      </c>
      <c r="M32" s="1054"/>
      <c r="N32" s="1053">
        <v>1774760170</v>
      </c>
      <c r="O32" s="1054"/>
      <c r="P32" s="1055">
        <v>16853607</v>
      </c>
      <c r="Q32" s="1052"/>
      <c r="R32" s="1052"/>
      <c r="S32" s="1052"/>
      <c r="T32" s="1052"/>
      <c r="U32" s="1052"/>
      <c r="V32" s="1052"/>
      <c r="W32" s="1052"/>
      <c r="X32" s="1052"/>
    </row>
    <row r="33" spans="1:24" ht="12" customHeight="1">
      <c r="A33" s="993" t="s">
        <v>119</v>
      </c>
      <c r="B33" s="1053">
        <v>181519679</v>
      </c>
      <c r="C33" s="1054"/>
      <c r="D33" s="1053">
        <v>8154942.2298400002</v>
      </c>
      <c r="E33" s="1054"/>
      <c r="F33" s="1053">
        <v>13206507</v>
      </c>
      <c r="G33" s="1054"/>
      <c r="H33" s="1053">
        <v>165081.33749999999</v>
      </c>
      <c r="I33" s="1054"/>
      <c r="J33" s="1053">
        <v>0</v>
      </c>
      <c r="K33" s="1054"/>
      <c r="L33" s="1053">
        <v>0</v>
      </c>
      <c r="M33" s="1054"/>
      <c r="N33" s="1053">
        <v>67952264</v>
      </c>
      <c r="O33" s="1054"/>
      <c r="P33" s="1055">
        <v>482461.07439999998</v>
      </c>
      <c r="Q33" s="1052"/>
      <c r="R33" s="1052"/>
      <c r="S33" s="1052"/>
      <c r="T33" s="1052"/>
      <c r="U33" s="1052"/>
      <c r="V33" s="1052"/>
      <c r="W33" s="1052"/>
      <c r="X33" s="1052"/>
    </row>
    <row r="34" spans="1:24" ht="12" customHeight="1">
      <c r="A34" s="993" t="s">
        <v>121</v>
      </c>
      <c r="B34" s="1053">
        <v>40259838</v>
      </c>
      <c r="C34" s="1054"/>
      <c r="D34" s="1053">
        <v>1306496.1900000002</v>
      </c>
      <c r="E34" s="1054"/>
      <c r="F34" s="1053">
        <v>2182037</v>
      </c>
      <c r="G34" s="1054"/>
      <c r="H34" s="1053">
        <v>48004.82</v>
      </c>
      <c r="I34" s="1054"/>
      <c r="J34" s="1053">
        <v>367673</v>
      </c>
      <c r="K34" s="1054"/>
      <c r="L34" s="1053">
        <v>12868.6</v>
      </c>
      <c r="M34" s="1054"/>
      <c r="N34" s="1053">
        <v>400192</v>
      </c>
      <c r="O34" s="1054"/>
      <c r="P34" s="1055">
        <v>14006.73</v>
      </c>
      <c r="Q34" s="1052"/>
      <c r="R34" s="1052"/>
      <c r="S34" s="1052"/>
      <c r="T34" s="1052"/>
      <c r="U34" s="1052"/>
      <c r="V34" s="1052"/>
      <c r="W34" s="1052"/>
      <c r="X34" s="1052"/>
    </row>
    <row r="35" spans="1:24" ht="12" customHeight="1">
      <c r="A35" s="993" t="s">
        <v>123</v>
      </c>
      <c r="B35" s="1053">
        <v>950969299</v>
      </c>
      <c r="C35" s="1054"/>
      <c r="D35" s="1053">
        <v>29365620.900000006</v>
      </c>
      <c r="E35" s="1054"/>
      <c r="F35" s="1053">
        <v>95395875</v>
      </c>
      <c r="G35" s="1054"/>
      <c r="H35" s="1053">
        <v>1907917.5</v>
      </c>
      <c r="I35" s="1054"/>
      <c r="J35" s="1053">
        <v>0</v>
      </c>
      <c r="K35" s="1054"/>
      <c r="L35" s="1053">
        <v>0</v>
      </c>
      <c r="M35" s="1054"/>
      <c r="N35" s="1053">
        <v>268521330</v>
      </c>
      <c r="O35" s="1054"/>
      <c r="P35" s="1055">
        <v>1760618.97</v>
      </c>
      <c r="Q35" s="1052"/>
      <c r="R35" s="1052"/>
      <c r="S35" s="1052"/>
      <c r="T35" s="1052"/>
      <c r="U35" s="1052"/>
      <c r="V35" s="1052"/>
      <c r="W35" s="1052"/>
      <c r="X35" s="1052"/>
    </row>
    <row r="36" spans="1:24" ht="12" customHeight="1">
      <c r="A36" s="993" t="s">
        <v>125</v>
      </c>
      <c r="B36" s="1053">
        <v>73889768</v>
      </c>
      <c r="C36" s="1054"/>
      <c r="D36" s="1053">
        <v>3059270.39</v>
      </c>
      <c r="E36" s="1054"/>
      <c r="F36" s="1053">
        <v>6316950</v>
      </c>
      <c r="G36" s="1054"/>
      <c r="H36" s="1053">
        <v>236885.62</v>
      </c>
      <c r="I36" s="1054"/>
      <c r="J36" s="1053">
        <v>0</v>
      </c>
      <c r="K36" s="1054"/>
      <c r="L36" s="1053">
        <v>0</v>
      </c>
      <c r="M36" s="1054"/>
      <c r="N36" s="1053">
        <v>112585165</v>
      </c>
      <c r="O36" s="1054"/>
      <c r="P36" s="1055">
        <v>886991.03</v>
      </c>
      <c r="Q36" s="1052"/>
      <c r="R36" s="1052"/>
      <c r="S36" s="1052"/>
      <c r="T36" s="1052"/>
      <c r="U36" s="1052"/>
      <c r="V36" s="1052"/>
      <c r="W36" s="1052"/>
      <c r="X36" s="1052"/>
    </row>
    <row r="37" spans="1:24" ht="8.25" customHeight="1">
      <c r="B37" s="1053"/>
      <c r="C37" s="1054"/>
      <c r="D37" s="1053"/>
      <c r="E37" s="1054"/>
      <c r="F37" s="1053"/>
      <c r="G37" s="1054"/>
      <c r="H37" s="1053"/>
      <c r="I37" s="1054"/>
      <c r="J37" s="1057"/>
      <c r="K37" s="1054"/>
      <c r="L37" s="1057"/>
      <c r="M37" s="1054"/>
      <c r="N37" s="1053"/>
      <c r="O37" s="1054"/>
      <c r="P37" s="1055"/>
      <c r="Q37" s="1052"/>
      <c r="R37" s="1052"/>
      <c r="S37" s="1052"/>
      <c r="T37" s="1052"/>
      <c r="U37" s="1052"/>
      <c r="V37" s="1052"/>
      <c r="W37" s="1052"/>
      <c r="X37" s="1052"/>
    </row>
    <row r="38" spans="1:24" ht="12" customHeight="1">
      <c r="A38" s="993" t="s">
        <v>127</v>
      </c>
      <c r="B38" s="1053">
        <v>118008511</v>
      </c>
      <c r="C38" s="1054"/>
      <c r="D38" s="1053">
        <v>2043765</v>
      </c>
      <c r="E38" s="1054"/>
      <c r="F38" s="1053">
        <v>81006466</v>
      </c>
      <c r="G38" s="1054"/>
      <c r="H38" s="1053">
        <v>1498619.62</v>
      </c>
      <c r="I38" s="1054"/>
      <c r="J38" s="1053">
        <v>884919</v>
      </c>
      <c r="K38" s="1054"/>
      <c r="L38" s="1053">
        <v>92916.69</v>
      </c>
      <c r="M38" s="1054"/>
      <c r="N38" s="1053">
        <v>119034999</v>
      </c>
      <c r="O38" s="1054"/>
      <c r="P38" s="1055">
        <v>716216.05999999994</v>
      </c>
      <c r="Q38" s="1052"/>
      <c r="R38" s="1052"/>
      <c r="S38" s="1052"/>
      <c r="T38" s="1052"/>
      <c r="U38" s="1052"/>
      <c r="V38" s="1052"/>
      <c r="W38" s="1052"/>
      <c r="X38" s="1052"/>
    </row>
    <row r="39" spans="1:24" ht="12" customHeight="1">
      <c r="A39" s="993" t="s">
        <v>129</v>
      </c>
      <c r="B39" s="1053">
        <v>277683945</v>
      </c>
      <c r="C39" s="1054"/>
      <c r="D39" s="1053">
        <v>12044238.58</v>
      </c>
      <c r="E39" s="1054"/>
      <c r="F39" s="1053">
        <v>105351429</v>
      </c>
      <c r="G39" s="1054"/>
      <c r="H39" s="1053">
        <v>3468619.87</v>
      </c>
      <c r="I39" s="1054"/>
      <c r="J39" s="1053">
        <v>0</v>
      </c>
      <c r="K39" s="1054"/>
      <c r="L39" s="1053">
        <v>0</v>
      </c>
      <c r="M39" s="1054"/>
      <c r="N39" s="1053">
        <v>224625992</v>
      </c>
      <c r="O39" s="1054"/>
      <c r="P39" s="1055">
        <v>1782826.0099999998</v>
      </c>
      <c r="Q39" s="1052"/>
      <c r="R39" s="1052"/>
      <c r="S39" s="1052"/>
      <c r="T39" s="1052"/>
      <c r="U39" s="1052"/>
      <c r="V39" s="1052"/>
      <c r="W39" s="1052"/>
      <c r="X39" s="1052"/>
    </row>
    <row r="40" spans="1:24" ht="12" customHeight="1">
      <c r="A40" s="993" t="s">
        <v>131</v>
      </c>
      <c r="B40" s="1053">
        <v>141395174</v>
      </c>
      <c r="C40" s="1054"/>
      <c r="D40" s="1053">
        <v>4471127.2176000001</v>
      </c>
      <c r="E40" s="1054"/>
      <c r="F40" s="1053">
        <v>6805175</v>
      </c>
      <c r="G40" s="1054"/>
      <c r="H40" s="1053">
        <v>81662.100000000006</v>
      </c>
      <c r="I40" s="1054"/>
      <c r="J40" s="1053">
        <v>2481440</v>
      </c>
      <c r="K40" s="1054"/>
      <c r="L40" s="1053">
        <v>93054</v>
      </c>
      <c r="M40" s="1054"/>
      <c r="N40" s="1053">
        <v>45301553</v>
      </c>
      <c r="O40" s="1054"/>
      <c r="P40" s="1055">
        <v>398858.77520000003</v>
      </c>
      <c r="Q40" s="1052"/>
      <c r="R40" s="1052"/>
      <c r="S40" s="1052"/>
      <c r="T40" s="1052"/>
      <c r="U40" s="1052"/>
      <c r="V40" s="1052"/>
      <c r="W40" s="1052"/>
      <c r="X40" s="1052"/>
    </row>
    <row r="41" spans="1:24" ht="12" customHeight="1">
      <c r="A41" s="993" t="s">
        <v>133</v>
      </c>
      <c r="B41" s="1053">
        <v>15420863641</v>
      </c>
      <c r="C41" s="1054"/>
      <c r="D41" s="1053">
        <v>701029765.94169998</v>
      </c>
      <c r="E41" s="1054"/>
      <c r="F41" s="1053">
        <v>28399028</v>
      </c>
      <c r="G41" s="1054"/>
      <c r="H41" s="1053">
        <v>1297835.5796000001</v>
      </c>
      <c r="I41" s="1054"/>
      <c r="J41" s="1053">
        <v>0</v>
      </c>
      <c r="K41" s="1054"/>
      <c r="L41" s="1053">
        <v>0</v>
      </c>
      <c r="M41" s="1054"/>
      <c r="N41" s="1053">
        <v>4174740736</v>
      </c>
      <c r="O41" s="1054"/>
      <c r="P41" s="1055">
        <v>48229418.991999999</v>
      </c>
      <c r="Q41" s="1052"/>
      <c r="R41" s="1052"/>
      <c r="S41" s="1052"/>
      <c r="T41" s="1052"/>
      <c r="U41" s="1052"/>
      <c r="V41" s="1052"/>
      <c r="W41" s="1052"/>
      <c r="X41" s="1052"/>
    </row>
    <row r="42" spans="1:24" ht="12" customHeight="1">
      <c r="A42" s="993" t="s">
        <v>135</v>
      </c>
      <c r="B42" s="1053">
        <v>1149259013</v>
      </c>
      <c r="C42" s="1054"/>
      <c r="D42" s="1053">
        <v>42708860.539999992</v>
      </c>
      <c r="E42" s="1054"/>
      <c r="F42" s="1053">
        <v>16266517</v>
      </c>
      <c r="G42" s="1054"/>
      <c r="H42" s="1053">
        <v>374129.99</v>
      </c>
      <c r="I42" s="1054"/>
      <c r="J42" s="1053">
        <v>0</v>
      </c>
      <c r="K42" s="1054"/>
      <c r="L42" s="1053">
        <v>0</v>
      </c>
      <c r="M42" s="1054"/>
      <c r="N42" s="1053">
        <v>738721754</v>
      </c>
      <c r="O42" s="1054"/>
      <c r="P42" s="1055">
        <v>7346495.7237999998</v>
      </c>
      <c r="Q42" s="1052"/>
      <c r="R42" s="1052"/>
      <c r="S42" s="1052"/>
      <c r="T42" s="1052"/>
      <c r="U42" s="1052"/>
      <c r="V42" s="1052"/>
      <c r="W42" s="1052"/>
      <c r="X42" s="1052"/>
    </row>
    <row r="43" spans="1:24" ht="15">
      <c r="A43" s="1039" t="s">
        <v>1096</v>
      </c>
      <c r="B43" s="1040"/>
      <c r="C43" s="1006"/>
      <c r="D43" s="1040"/>
      <c r="E43" s="1006"/>
      <c r="F43" s="1040"/>
      <c r="G43" s="1006"/>
      <c r="H43" s="1040"/>
      <c r="I43" s="1006"/>
      <c r="J43" s="1040"/>
      <c r="K43" s="1006"/>
      <c r="L43" s="1040"/>
      <c r="M43" s="1006"/>
      <c r="N43" s="1040"/>
      <c r="O43" s="1006"/>
      <c r="P43" s="1040"/>
      <c r="Q43" s="1010"/>
      <c r="R43" s="1010"/>
      <c r="S43" s="1010"/>
      <c r="T43" s="1010"/>
      <c r="U43" s="1010"/>
      <c r="V43" s="1010"/>
      <c r="W43" s="1010"/>
      <c r="X43" s="1010"/>
    </row>
    <row r="44" spans="1:24" ht="12.75">
      <c r="A44" s="1041" t="s">
        <v>1089</v>
      </c>
      <c r="B44" s="1042"/>
      <c r="C44" s="1042"/>
      <c r="D44" s="1042"/>
      <c r="E44" s="1042"/>
      <c r="F44" s="1042"/>
      <c r="G44" s="1042"/>
      <c r="H44" s="1042"/>
      <c r="I44" s="1042"/>
      <c r="J44" s="1042"/>
      <c r="K44" s="1042"/>
      <c r="L44" s="1042"/>
      <c r="M44" s="1042"/>
      <c r="N44" s="1042"/>
      <c r="O44" s="1042"/>
      <c r="P44" s="1042"/>
      <c r="Q44" s="1043"/>
      <c r="R44" s="1043"/>
      <c r="S44" s="1043"/>
      <c r="T44" s="1043"/>
      <c r="U44" s="1043"/>
      <c r="V44" s="1043"/>
      <c r="W44" s="1043"/>
      <c r="X44" s="1043"/>
    </row>
    <row r="45" spans="1:24" ht="12.75">
      <c r="A45" s="1217" t="str">
        <f>A3</f>
        <v>Assessed Values and Levies by Locality - Tax Year 2019</v>
      </c>
      <c r="B45" s="1216"/>
      <c r="C45" s="1216"/>
      <c r="D45" s="1216"/>
      <c r="E45" s="1216"/>
      <c r="F45" s="1216"/>
      <c r="G45" s="1216"/>
      <c r="H45" s="1216"/>
      <c r="I45" s="1216"/>
      <c r="J45" s="1216"/>
      <c r="K45" s="1216"/>
      <c r="L45" s="1216"/>
      <c r="M45" s="1216"/>
      <c r="N45" s="1216"/>
      <c r="O45" s="1216"/>
      <c r="P45" s="1216"/>
      <c r="Q45" s="1044"/>
      <c r="R45" s="1044"/>
      <c r="S45" s="1044"/>
      <c r="T45" s="1044"/>
      <c r="U45" s="1044"/>
      <c r="V45" s="1044"/>
      <c r="W45" s="1044"/>
      <c r="X45" s="1044"/>
    </row>
    <row r="46" spans="1:24" ht="11.25" customHeight="1" thickBot="1">
      <c r="A46" s="1007"/>
      <c r="B46" s="1007"/>
      <c r="C46" s="1007"/>
      <c r="D46" s="1007"/>
      <c r="E46" s="1007"/>
      <c r="F46" s="1007"/>
      <c r="G46" s="1007"/>
      <c r="H46" s="1007"/>
      <c r="I46" s="1007"/>
      <c r="J46" s="1007"/>
      <c r="K46" s="1007"/>
      <c r="L46" s="1007"/>
      <c r="M46" s="1007"/>
      <c r="N46" s="1007"/>
      <c r="O46" s="1007"/>
      <c r="P46" s="1007"/>
      <c r="Q46" s="1044"/>
      <c r="R46" s="1044"/>
      <c r="S46" s="1044"/>
      <c r="T46" s="1044"/>
      <c r="U46" s="1044"/>
      <c r="V46" s="1044"/>
      <c r="W46" s="1044"/>
      <c r="X46" s="1044"/>
    </row>
    <row r="47" spans="1:24" ht="14.25" customHeight="1">
      <c r="A47" s="1006"/>
      <c r="B47" s="1400" t="s">
        <v>1090</v>
      </c>
      <c r="C47" s="1400"/>
      <c r="D47" s="1400"/>
      <c r="E47" s="1006"/>
      <c r="F47" s="1400" t="s">
        <v>1091</v>
      </c>
      <c r="G47" s="1400"/>
      <c r="H47" s="1400"/>
      <c r="I47" s="1006"/>
      <c r="J47" s="1400" t="s">
        <v>1092</v>
      </c>
      <c r="K47" s="1400"/>
      <c r="L47" s="1400"/>
      <c r="M47" s="1006"/>
      <c r="N47" s="1400" t="s">
        <v>1093</v>
      </c>
      <c r="O47" s="1400"/>
      <c r="P47" s="1400"/>
      <c r="Q47" s="1045"/>
      <c r="R47" s="1045"/>
      <c r="S47" s="1045"/>
      <c r="T47" s="1045"/>
      <c r="U47" s="1045"/>
      <c r="V47" s="1045"/>
      <c r="W47" s="1045"/>
      <c r="X47" s="1045"/>
    </row>
    <row r="48" spans="1:24" ht="12" customHeight="1">
      <c r="A48" s="1046" t="s">
        <v>23</v>
      </c>
      <c r="B48" s="1047" t="s">
        <v>1094</v>
      </c>
      <c r="C48" s="1016"/>
      <c r="D48" s="1047" t="s">
        <v>1095</v>
      </c>
      <c r="E48" s="1016"/>
      <c r="F48" s="1047" t="s">
        <v>1094</v>
      </c>
      <c r="G48" s="1016"/>
      <c r="H48" s="1047" t="s">
        <v>1095</v>
      </c>
      <c r="I48" s="1016"/>
      <c r="J48" s="1047" t="s">
        <v>1094</v>
      </c>
      <c r="K48" s="1016"/>
      <c r="L48" s="1047" t="s">
        <v>1095</v>
      </c>
      <c r="M48" s="1016"/>
      <c r="N48" s="1047" t="s">
        <v>1094</v>
      </c>
      <c r="O48" s="1016"/>
      <c r="P48" s="1047" t="s">
        <v>1095</v>
      </c>
      <c r="Q48" s="1048"/>
      <c r="R48" s="1048"/>
      <c r="S48" s="1048"/>
      <c r="T48" s="1048"/>
      <c r="U48" s="1048"/>
      <c r="V48" s="1048"/>
      <c r="W48" s="1048"/>
      <c r="X48" s="1048"/>
    </row>
    <row r="49" spans="1:24" ht="8.25" customHeight="1">
      <c r="B49" s="1053"/>
      <c r="C49" s="1056"/>
      <c r="D49" s="1053"/>
      <c r="E49" s="1056"/>
      <c r="F49" s="1053"/>
      <c r="G49" s="1056"/>
      <c r="H49" s="1053"/>
      <c r="I49" s="1056"/>
      <c r="J49" s="1053"/>
      <c r="K49" s="1056"/>
      <c r="L49" s="1053"/>
      <c r="M49" s="1056"/>
      <c r="N49" s="1053"/>
      <c r="O49" s="1056"/>
      <c r="P49" s="1055"/>
      <c r="Q49" s="1052"/>
      <c r="R49" s="1052"/>
      <c r="S49" s="1052"/>
      <c r="T49" s="1052"/>
      <c r="U49" s="1052"/>
      <c r="V49" s="1052"/>
      <c r="W49" s="1052"/>
      <c r="X49" s="1052"/>
    </row>
    <row r="50" spans="1:24" ht="12" customHeight="1">
      <c r="A50" s="993" t="s">
        <v>137</v>
      </c>
      <c r="B50" s="1049">
        <v>131580691</v>
      </c>
      <c r="C50" s="1050"/>
      <c r="D50" s="1049">
        <v>3655334.0795000005</v>
      </c>
      <c r="E50" s="1050"/>
      <c r="F50" s="1049">
        <v>17307927</v>
      </c>
      <c r="G50" s="1050"/>
      <c r="H50" s="1049">
        <v>268272.86849999998</v>
      </c>
      <c r="I50" s="1050"/>
      <c r="J50" s="1049">
        <v>2153388</v>
      </c>
      <c r="K50" s="1050"/>
      <c r="L50" s="1049">
        <v>75368.58</v>
      </c>
      <c r="M50" s="1050"/>
      <c r="N50" s="1049">
        <v>60073354</v>
      </c>
      <c r="O50" s="1050"/>
      <c r="P50" s="1051">
        <v>371541.52399999998</v>
      </c>
      <c r="Q50" s="1052"/>
      <c r="R50" s="1052"/>
      <c r="S50" s="1052"/>
      <c r="T50" s="1052"/>
      <c r="U50" s="1052"/>
      <c r="V50" s="1052"/>
      <c r="W50" s="1052"/>
      <c r="X50" s="1052"/>
    </row>
    <row r="51" spans="1:24" ht="12" customHeight="1">
      <c r="A51" s="993" t="s">
        <v>139</v>
      </c>
      <c r="B51" s="1053">
        <v>236697213</v>
      </c>
      <c r="C51" s="1054"/>
      <c r="D51" s="1053">
        <v>10222350.75</v>
      </c>
      <c r="E51" s="1054"/>
      <c r="F51" s="1053">
        <v>590595</v>
      </c>
      <c r="G51" s="1054"/>
      <c r="H51" s="1053">
        <v>11221.3</v>
      </c>
      <c r="I51" s="1054"/>
      <c r="J51" s="1053">
        <v>12841686</v>
      </c>
      <c r="K51" s="1054"/>
      <c r="L51" s="1053">
        <v>372408.89</v>
      </c>
      <c r="M51" s="1054"/>
      <c r="N51" s="1053">
        <v>575551601</v>
      </c>
      <c r="O51" s="1054"/>
      <c r="P51" s="1055">
        <v>5364821.1700000009</v>
      </c>
      <c r="Q51" s="1052"/>
      <c r="R51" s="1052"/>
      <c r="S51" s="1052"/>
      <c r="T51" s="1052"/>
      <c r="U51" s="1052"/>
      <c r="V51" s="1052"/>
      <c r="W51" s="1052"/>
      <c r="X51" s="1052"/>
    </row>
    <row r="52" spans="1:24" s="1060" customFormat="1" ht="12" customHeight="1">
      <c r="A52" s="1058" t="s">
        <v>26</v>
      </c>
      <c r="B52" s="1053">
        <v>663112681</v>
      </c>
      <c r="C52" s="1059"/>
      <c r="D52" s="1053">
        <v>15269989.310000001</v>
      </c>
      <c r="E52" s="1059"/>
      <c r="F52" s="1053">
        <v>132597424</v>
      </c>
      <c r="G52" s="1059"/>
      <c r="H52" s="1053">
        <v>928182.05</v>
      </c>
      <c r="I52" s="1059"/>
      <c r="J52" s="1053">
        <v>78239240</v>
      </c>
      <c r="K52" s="1059"/>
      <c r="L52" s="1053">
        <v>844983.83</v>
      </c>
      <c r="M52" s="1059"/>
      <c r="N52" s="1053">
        <v>179241818</v>
      </c>
      <c r="O52" s="1059"/>
      <c r="P52" s="1055">
        <v>1100450.1399999999</v>
      </c>
      <c r="Q52" s="1052"/>
      <c r="R52" s="1052"/>
      <c r="S52" s="1052"/>
      <c r="T52" s="1052"/>
      <c r="U52" s="1052"/>
      <c r="V52" s="1052"/>
      <c r="W52" s="1052"/>
      <c r="X52" s="1052"/>
    </row>
    <row r="53" spans="1:24" ht="12" customHeight="1">
      <c r="A53" s="993" t="s">
        <v>142</v>
      </c>
      <c r="B53" s="1053">
        <v>1133847750</v>
      </c>
      <c r="C53" s="1054"/>
      <c r="D53" s="1053">
        <v>52008092.899999999</v>
      </c>
      <c r="E53" s="1054"/>
      <c r="F53" s="1053">
        <v>406949415</v>
      </c>
      <c r="G53" s="1054"/>
      <c r="H53" s="1053">
        <v>8138988.2999999998</v>
      </c>
      <c r="I53" s="1054"/>
      <c r="J53" s="1053">
        <v>0</v>
      </c>
      <c r="K53" s="1054"/>
      <c r="L53" s="1053">
        <v>0</v>
      </c>
      <c r="M53" s="1054"/>
      <c r="N53" s="1053">
        <v>405888133</v>
      </c>
      <c r="O53" s="1054"/>
      <c r="P53" s="1055">
        <v>2538511.8400000003</v>
      </c>
      <c r="Q53" s="1052"/>
      <c r="R53" s="1052"/>
      <c r="S53" s="1052"/>
      <c r="T53" s="1052"/>
      <c r="U53" s="1052"/>
      <c r="V53" s="1052"/>
      <c r="W53" s="1052"/>
      <c r="X53" s="1052"/>
    </row>
    <row r="54" spans="1:24" ht="12" customHeight="1">
      <c r="A54" s="993" t="s">
        <v>144</v>
      </c>
      <c r="B54" s="1053">
        <v>202559270</v>
      </c>
      <c r="C54" s="1054"/>
      <c r="D54" s="1053">
        <v>3978677.27</v>
      </c>
      <c r="E54" s="1054"/>
      <c r="F54" s="1053">
        <v>260510116</v>
      </c>
      <c r="G54" s="1054"/>
      <c r="H54" s="1053">
        <v>5262304.3600000003</v>
      </c>
      <c r="I54" s="1054"/>
      <c r="J54" s="1053">
        <v>25340459</v>
      </c>
      <c r="K54" s="1054"/>
      <c r="L54" s="1053">
        <v>210325.81</v>
      </c>
      <c r="M54" s="1054"/>
      <c r="N54" s="1053">
        <v>115917047</v>
      </c>
      <c r="O54" s="1054"/>
      <c r="P54" s="1055">
        <v>780051.49</v>
      </c>
      <c r="Q54" s="1052"/>
      <c r="R54" s="1052"/>
      <c r="S54" s="1052"/>
      <c r="T54" s="1052"/>
      <c r="U54" s="1052"/>
      <c r="V54" s="1052"/>
      <c r="W54" s="1052"/>
      <c r="X54" s="1052"/>
    </row>
    <row r="55" spans="1:24" ht="8.25" customHeight="1">
      <c r="B55" s="1053"/>
      <c r="C55" s="1054"/>
      <c r="D55" s="1053"/>
      <c r="E55" s="1054"/>
      <c r="F55" s="1053"/>
      <c r="G55" s="1054"/>
      <c r="H55" s="1053"/>
      <c r="I55" s="1054"/>
      <c r="J55" s="1053"/>
      <c r="K55" s="1054"/>
      <c r="L55" s="1053"/>
      <c r="M55" s="1054"/>
      <c r="N55" s="1053"/>
      <c r="O55" s="1054"/>
      <c r="P55" s="1055"/>
      <c r="Q55" s="1052"/>
      <c r="R55" s="1052"/>
      <c r="S55" s="1052"/>
      <c r="T55" s="1052"/>
      <c r="U55" s="1052"/>
      <c r="V55" s="1052"/>
      <c r="W55" s="1052"/>
      <c r="X55" s="1052"/>
    </row>
    <row r="56" spans="1:24" s="1056" customFormat="1" ht="12" customHeight="1">
      <c r="A56" s="1061" t="s">
        <v>79</v>
      </c>
      <c r="B56" s="1053">
        <v>510481624</v>
      </c>
      <c r="C56" s="1059"/>
      <c r="D56" s="1053">
        <v>13614018.682300001</v>
      </c>
      <c r="E56" s="1059"/>
      <c r="F56" s="1053">
        <v>9117208</v>
      </c>
      <c r="G56" s="1059"/>
      <c r="H56" s="1053">
        <v>268957.636</v>
      </c>
      <c r="I56" s="1059"/>
      <c r="J56" s="1053">
        <v>0</v>
      </c>
      <c r="K56" s="1059"/>
      <c r="L56" s="1053">
        <v>0</v>
      </c>
      <c r="M56" s="1059"/>
      <c r="N56" s="1053">
        <v>147547319</v>
      </c>
      <c r="O56" s="1059"/>
      <c r="P56" s="1055">
        <v>1027727.3806</v>
      </c>
      <c r="Q56" s="1052"/>
      <c r="R56" s="1052"/>
      <c r="S56" s="1052"/>
      <c r="T56" s="1052"/>
      <c r="U56" s="1052"/>
      <c r="V56" s="1052"/>
      <c r="W56" s="1052"/>
      <c r="X56" s="1052"/>
    </row>
    <row r="57" spans="1:24" s="1056" customFormat="1" ht="12" customHeight="1">
      <c r="A57" s="1061" t="s">
        <v>81</v>
      </c>
      <c r="B57" s="1053">
        <v>543971378</v>
      </c>
      <c r="C57" s="1059"/>
      <c r="D57" s="1053">
        <v>21431263.940000001</v>
      </c>
      <c r="E57" s="1059"/>
      <c r="F57" s="1053">
        <v>47075783</v>
      </c>
      <c r="G57" s="1059"/>
      <c r="H57" s="1053">
        <v>470757.83</v>
      </c>
      <c r="I57" s="1059"/>
      <c r="J57" s="1053">
        <v>0</v>
      </c>
      <c r="K57" s="1059"/>
      <c r="L57" s="1053">
        <v>0</v>
      </c>
      <c r="M57" s="1059"/>
      <c r="N57" s="1053">
        <v>93048545</v>
      </c>
      <c r="O57" s="1059"/>
      <c r="P57" s="1055">
        <v>511069.35000000003</v>
      </c>
      <c r="Q57" s="1052"/>
      <c r="R57" s="1052"/>
      <c r="S57" s="1052"/>
      <c r="T57" s="1052"/>
      <c r="U57" s="1052"/>
      <c r="V57" s="1052"/>
      <c r="W57" s="1052"/>
      <c r="X57" s="1052"/>
    </row>
    <row r="58" spans="1:24" s="1056" customFormat="1" ht="12" customHeight="1">
      <c r="A58" s="1061" t="s">
        <v>83</v>
      </c>
      <c r="B58" s="1053">
        <v>127786990</v>
      </c>
      <c r="C58" s="1059"/>
      <c r="D58" s="1053">
        <v>2178719.0300000003</v>
      </c>
      <c r="E58" s="1059"/>
      <c r="F58" s="1053">
        <v>21724721</v>
      </c>
      <c r="G58" s="1059"/>
      <c r="H58" s="1053">
        <v>380182.62</v>
      </c>
      <c r="I58" s="1059"/>
      <c r="J58" s="1053">
        <v>796294</v>
      </c>
      <c r="K58" s="1059"/>
      <c r="L58" s="1053">
        <v>53351.7</v>
      </c>
      <c r="M58" s="1059"/>
      <c r="N58" s="1053">
        <v>58454919</v>
      </c>
      <c r="O58" s="1059"/>
      <c r="P58" s="1055">
        <v>327347.55</v>
      </c>
      <c r="Q58" s="1052"/>
      <c r="R58" s="1052"/>
      <c r="S58" s="1052"/>
      <c r="T58" s="1052"/>
      <c r="U58" s="1052"/>
      <c r="V58" s="1052"/>
      <c r="W58" s="1052"/>
      <c r="X58" s="1052"/>
    </row>
    <row r="59" spans="1:24" ht="12" customHeight="1">
      <c r="A59" s="993" t="s">
        <v>85</v>
      </c>
      <c r="B59" s="1053">
        <v>146184766</v>
      </c>
      <c r="C59" s="1054"/>
      <c r="D59" s="1053">
        <v>7007003.3999999994</v>
      </c>
      <c r="E59" s="1054"/>
      <c r="F59" s="1053">
        <v>9207972</v>
      </c>
      <c r="G59" s="1054"/>
      <c r="H59" s="1053">
        <v>230199.3</v>
      </c>
      <c r="I59" s="1054"/>
      <c r="J59" s="1053">
        <v>0</v>
      </c>
      <c r="K59" s="1054"/>
      <c r="L59" s="1053">
        <v>0</v>
      </c>
      <c r="M59" s="1054"/>
      <c r="N59" s="1053">
        <v>58478798</v>
      </c>
      <c r="O59" s="1054"/>
      <c r="P59" s="1055">
        <v>479526.14</v>
      </c>
      <c r="Q59" s="1052"/>
      <c r="R59" s="1052"/>
      <c r="S59" s="1052"/>
      <c r="T59" s="1052"/>
      <c r="U59" s="1052"/>
      <c r="V59" s="1052"/>
      <c r="W59" s="1052"/>
      <c r="X59" s="1052"/>
    </row>
    <row r="60" spans="1:24" ht="12" customHeight="1">
      <c r="A60" s="997" t="s">
        <v>87</v>
      </c>
      <c r="B60" s="1053">
        <v>71156050</v>
      </c>
      <c r="C60" s="1059"/>
      <c r="D60" s="1053">
        <v>3325374.1100000003</v>
      </c>
      <c r="E60" s="1059"/>
      <c r="F60" s="1053">
        <v>24115970</v>
      </c>
      <c r="G60" s="1059"/>
      <c r="H60" s="1053">
        <v>964638.8</v>
      </c>
      <c r="I60" s="1059"/>
      <c r="J60" s="1053">
        <v>0</v>
      </c>
      <c r="K60" s="1062"/>
      <c r="L60" s="1053">
        <v>0</v>
      </c>
      <c r="M60" s="1062"/>
      <c r="N60" s="1053">
        <v>955974281</v>
      </c>
      <c r="O60" s="1059"/>
      <c r="P60" s="1055">
        <v>6439318.6400000006</v>
      </c>
      <c r="Q60" s="1052"/>
      <c r="R60" s="1052"/>
      <c r="S60" s="1052"/>
      <c r="T60" s="1052"/>
      <c r="U60" s="1052"/>
      <c r="V60" s="1052"/>
      <c r="W60" s="1052"/>
      <c r="X60" s="1052"/>
    </row>
    <row r="61" spans="1:24" ht="8.25" customHeight="1">
      <c r="B61" s="993"/>
      <c r="D61" s="993"/>
      <c r="F61" s="993"/>
      <c r="H61" s="993"/>
      <c r="J61" s="993"/>
      <c r="L61" s="993"/>
      <c r="N61" s="993"/>
      <c r="P61" s="993"/>
    </row>
    <row r="62" spans="1:24" ht="12" customHeight="1">
      <c r="A62" s="993" t="s">
        <v>423</v>
      </c>
      <c r="B62" s="1055">
        <v>274897100</v>
      </c>
      <c r="C62" s="1063"/>
      <c r="D62" s="1055">
        <v>9694647.2300000004</v>
      </c>
      <c r="E62" s="1055"/>
      <c r="F62" s="1055">
        <v>121191900</v>
      </c>
      <c r="G62" s="1055"/>
      <c r="H62" s="1055">
        <v>1527017.94</v>
      </c>
      <c r="I62" s="1055"/>
      <c r="J62" s="1055">
        <v>0</v>
      </c>
      <c r="K62" s="1064"/>
      <c r="L62" s="1055">
        <v>0</v>
      </c>
      <c r="M62" s="1064"/>
      <c r="N62" s="1055">
        <v>1087342959</v>
      </c>
      <c r="O62" s="1055"/>
      <c r="P62" s="1055">
        <v>5454617.3300000001</v>
      </c>
      <c r="Q62" s="1052"/>
      <c r="R62" s="1052"/>
      <c r="S62" s="1052"/>
      <c r="T62" s="1052"/>
      <c r="U62" s="1052"/>
      <c r="V62" s="1052"/>
      <c r="W62" s="1052"/>
      <c r="X62" s="1052"/>
    </row>
    <row r="63" spans="1:24" ht="12" customHeight="1">
      <c r="A63" s="993" t="s">
        <v>91</v>
      </c>
      <c r="B63" s="1053">
        <v>1791291203.5899999</v>
      </c>
      <c r="C63" s="1059"/>
      <c r="D63" s="1053">
        <v>56123283.999999993</v>
      </c>
      <c r="E63" s="1059"/>
      <c r="F63" s="1053">
        <v>56346964.689999998</v>
      </c>
      <c r="G63" s="1059"/>
      <c r="H63" s="1053">
        <v>2010179.52</v>
      </c>
      <c r="I63" s="1059"/>
      <c r="J63" s="1053">
        <v>87540555.709999993</v>
      </c>
      <c r="K63" s="1059"/>
      <c r="L63" s="1053">
        <v>1663478.55</v>
      </c>
      <c r="M63" s="1059"/>
      <c r="N63" s="1053">
        <v>770850468</v>
      </c>
      <c r="O63" s="1059"/>
      <c r="P63" s="1055">
        <v>6433877.4399999995</v>
      </c>
      <c r="Q63" s="1052"/>
      <c r="R63" s="1052"/>
      <c r="S63" s="1052"/>
      <c r="T63" s="1052"/>
      <c r="U63" s="1052"/>
      <c r="V63" s="1052"/>
      <c r="W63" s="1052"/>
      <c r="X63" s="1052"/>
    </row>
    <row r="64" spans="1:24" ht="12" customHeight="1">
      <c r="A64" s="993" t="s">
        <v>93</v>
      </c>
      <c r="B64" s="1053">
        <v>4213909674</v>
      </c>
      <c r="C64" s="1059"/>
      <c r="D64" s="1053">
        <v>128827390</v>
      </c>
      <c r="E64" s="1059"/>
      <c r="F64" s="1053">
        <v>289496363</v>
      </c>
      <c r="G64" s="1059"/>
      <c r="H64" s="1053">
        <v>868489</v>
      </c>
      <c r="I64" s="1059"/>
      <c r="J64" s="1053">
        <v>0</v>
      </c>
      <c r="K64" s="1062"/>
      <c r="L64" s="1053">
        <v>0</v>
      </c>
      <c r="M64" s="1062"/>
      <c r="N64" s="1053">
        <v>1164433236</v>
      </c>
      <c r="O64" s="1059"/>
      <c r="P64" s="1055">
        <v>10183007</v>
      </c>
      <c r="Q64" s="1052"/>
      <c r="R64" s="1052"/>
      <c r="S64" s="1052"/>
      <c r="T64" s="1052"/>
      <c r="U64" s="1052"/>
      <c r="V64" s="1052"/>
      <c r="W64" s="1052"/>
      <c r="X64" s="1052"/>
    </row>
    <row r="65" spans="1:24" ht="12" customHeight="1">
      <c r="A65" s="993" t="s">
        <v>95</v>
      </c>
      <c r="B65" s="1053">
        <v>462881447</v>
      </c>
      <c r="C65" s="1059"/>
      <c r="D65" s="1053">
        <v>6947548</v>
      </c>
      <c r="E65" s="1059"/>
      <c r="F65" s="1053">
        <v>338244156</v>
      </c>
      <c r="G65" s="1059"/>
      <c r="H65" s="1053">
        <v>5242784</v>
      </c>
      <c r="I65" s="1059"/>
      <c r="J65" s="1053">
        <v>0</v>
      </c>
      <c r="K65" s="1062"/>
      <c r="L65" s="1053">
        <v>0</v>
      </c>
      <c r="M65" s="1062"/>
      <c r="N65" s="1053">
        <v>196870290</v>
      </c>
      <c r="O65" s="1059"/>
      <c r="P65" s="1055">
        <v>1094040.44</v>
      </c>
      <c r="Q65" s="1052"/>
      <c r="R65" s="1052"/>
      <c r="S65" s="1052"/>
      <c r="T65" s="1052"/>
      <c r="U65" s="1052"/>
      <c r="V65" s="1052"/>
      <c r="W65" s="1052"/>
      <c r="X65" s="1052"/>
    </row>
    <row r="66" spans="1:24" ht="12" customHeight="1">
      <c r="A66" s="993" t="s">
        <v>96</v>
      </c>
      <c r="B66" s="1053">
        <v>24272628</v>
      </c>
      <c r="C66" s="1054"/>
      <c r="D66" s="1053">
        <v>652088.51</v>
      </c>
      <c r="E66" s="1054"/>
      <c r="F66" s="1053">
        <v>113772</v>
      </c>
      <c r="G66" s="1054"/>
      <c r="H66" s="1053">
        <v>1137.72</v>
      </c>
      <c r="I66" s="1054"/>
      <c r="J66" s="1053">
        <v>339413</v>
      </c>
      <c r="K66" s="1054"/>
      <c r="L66" s="1053">
        <v>3394.13</v>
      </c>
      <c r="M66" s="1054"/>
      <c r="N66" s="1053">
        <v>24063134</v>
      </c>
      <c r="O66" s="1054"/>
      <c r="P66" s="1055">
        <v>119282.03289999999</v>
      </c>
      <c r="Q66" s="1052"/>
      <c r="R66" s="1052"/>
      <c r="S66" s="1052"/>
      <c r="T66" s="1052"/>
      <c r="U66" s="1052"/>
      <c r="V66" s="1052"/>
      <c r="W66" s="1052"/>
      <c r="X66" s="1052"/>
    </row>
    <row r="67" spans="1:24" ht="8.25" customHeight="1">
      <c r="B67" s="1053"/>
      <c r="C67" s="1054"/>
      <c r="D67" s="1053"/>
      <c r="E67" s="1054"/>
      <c r="F67" s="1053"/>
      <c r="G67" s="1054"/>
      <c r="H67" s="1053"/>
      <c r="I67" s="1054"/>
      <c r="J67" s="1053"/>
      <c r="K67" s="1054"/>
      <c r="L67" s="1053"/>
      <c r="M67" s="1054"/>
      <c r="N67" s="1053"/>
      <c r="O67" s="1054"/>
      <c r="P67" s="1055"/>
      <c r="Q67" s="1052"/>
      <c r="R67" s="1052"/>
      <c r="S67" s="1052"/>
      <c r="T67" s="1052"/>
      <c r="U67" s="1052"/>
      <c r="V67" s="1052"/>
      <c r="W67" s="1052"/>
      <c r="X67" s="1052"/>
    </row>
    <row r="68" spans="1:24" ht="12" customHeight="1">
      <c r="A68" s="993" t="s">
        <v>98</v>
      </c>
      <c r="B68" s="1053">
        <v>376683327</v>
      </c>
      <c r="C68" s="1054"/>
      <c r="D68" s="1053">
        <v>15941736.008000001</v>
      </c>
      <c r="E68" s="1054"/>
      <c r="F68" s="1053">
        <v>285002834</v>
      </c>
      <c r="G68" s="1054"/>
      <c r="H68" s="1053">
        <v>4987549.5949999997</v>
      </c>
      <c r="I68" s="1054"/>
      <c r="J68" s="1053">
        <v>0</v>
      </c>
      <c r="K68" s="1054"/>
      <c r="L68" s="1053">
        <v>0</v>
      </c>
      <c r="M68" s="1054"/>
      <c r="N68" s="1053">
        <v>863553</v>
      </c>
      <c r="O68" s="1054"/>
      <c r="P68" s="1055">
        <v>38859.885000000002</v>
      </c>
      <c r="Q68" s="1052"/>
      <c r="R68" s="1052"/>
      <c r="S68" s="1052"/>
      <c r="T68" s="1052"/>
      <c r="U68" s="1052"/>
      <c r="V68" s="1052"/>
      <c r="W68" s="1052"/>
      <c r="X68" s="1052"/>
    </row>
    <row r="69" spans="1:24" ht="12" customHeight="1">
      <c r="A69" s="993" t="s">
        <v>1188</v>
      </c>
      <c r="B69" s="1053">
        <v>887639206</v>
      </c>
      <c r="C69" s="1054"/>
      <c r="D69" s="1053">
        <v>34396220</v>
      </c>
      <c r="E69" s="1054"/>
      <c r="F69" s="1053">
        <v>151207956</v>
      </c>
      <c r="G69" s="1054"/>
      <c r="H69" s="1053">
        <v>6069230</v>
      </c>
      <c r="I69" s="1054"/>
      <c r="J69" s="1053">
        <v>0</v>
      </c>
      <c r="K69" s="1054"/>
      <c r="L69" s="1053">
        <v>0</v>
      </c>
      <c r="M69" s="1054"/>
      <c r="N69" s="1053">
        <v>262267902</v>
      </c>
      <c r="O69" s="1054"/>
      <c r="P69" s="1055">
        <v>2209163</v>
      </c>
      <c r="Q69" s="1052"/>
      <c r="R69" s="1052"/>
      <c r="S69" s="1052"/>
      <c r="T69" s="1052"/>
      <c r="U69" s="1052"/>
      <c r="V69" s="1052"/>
      <c r="W69" s="1052"/>
      <c r="X69" s="1052"/>
    </row>
    <row r="70" spans="1:24" ht="12" customHeight="1">
      <c r="A70" s="993" t="s">
        <v>102</v>
      </c>
      <c r="B70" s="1053">
        <v>100753547</v>
      </c>
      <c r="C70" s="1054"/>
      <c r="D70" s="1053">
        <v>30671.931858999993</v>
      </c>
      <c r="E70" s="1054"/>
      <c r="F70" s="1053">
        <v>11678015</v>
      </c>
      <c r="G70" s="1054"/>
      <c r="H70" s="1053">
        <v>1284.5816499999999</v>
      </c>
      <c r="I70" s="1054"/>
      <c r="J70" s="1053">
        <v>6804866</v>
      </c>
      <c r="K70" s="1054"/>
      <c r="L70" s="1053">
        <v>442.31628999999998</v>
      </c>
      <c r="M70" s="1054"/>
      <c r="N70" s="1053">
        <v>32038265</v>
      </c>
      <c r="O70" s="1054"/>
      <c r="P70" s="1055">
        <v>1670.166626</v>
      </c>
      <c r="Q70" s="1052"/>
      <c r="R70" s="1052"/>
      <c r="S70" s="1052"/>
      <c r="T70" s="1052"/>
      <c r="U70" s="1052"/>
      <c r="V70" s="1052"/>
      <c r="W70" s="1052"/>
      <c r="X70" s="1052"/>
    </row>
    <row r="71" spans="1:24" ht="12" customHeight="1">
      <c r="A71" s="993" t="s">
        <v>104</v>
      </c>
      <c r="B71" s="1053">
        <v>277704377</v>
      </c>
      <c r="C71" s="1059"/>
      <c r="D71" s="1053">
        <v>9617240.9500000011</v>
      </c>
      <c r="E71" s="1059"/>
      <c r="F71" s="1053">
        <v>7324571</v>
      </c>
      <c r="G71" s="1059"/>
      <c r="H71" s="1053">
        <v>183114.34</v>
      </c>
      <c r="I71" s="1059"/>
      <c r="J71" s="1053">
        <v>0</v>
      </c>
      <c r="K71" s="1062"/>
      <c r="L71" s="1053">
        <v>0</v>
      </c>
      <c r="M71" s="1062"/>
      <c r="N71" s="1053">
        <v>255843825</v>
      </c>
      <c r="O71" s="1059"/>
      <c r="P71" s="1055">
        <v>1796653.43</v>
      </c>
      <c r="Q71" s="1052"/>
      <c r="R71" s="1052"/>
      <c r="S71" s="1052"/>
      <c r="T71" s="1052"/>
      <c r="U71" s="1052"/>
      <c r="V71" s="1052"/>
      <c r="W71" s="1052"/>
      <c r="X71" s="1052"/>
    </row>
    <row r="72" spans="1:24" ht="12" customHeight="1">
      <c r="A72" s="993" t="s">
        <v>459</v>
      </c>
      <c r="B72" s="1053">
        <v>132155856</v>
      </c>
      <c r="C72" s="1059"/>
      <c r="D72" s="1053">
        <v>486980.73</v>
      </c>
      <c r="E72" s="1059"/>
      <c r="F72" s="1053">
        <v>23780554</v>
      </c>
      <c r="G72" s="1059"/>
      <c r="H72" s="1053">
        <v>535063</v>
      </c>
      <c r="I72" s="1059"/>
      <c r="J72" s="1053">
        <v>0</v>
      </c>
      <c r="K72" s="1059"/>
      <c r="L72" s="1053">
        <v>0</v>
      </c>
      <c r="M72" s="1059"/>
      <c r="N72" s="1053">
        <v>39636899</v>
      </c>
      <c r="O72" s="1059"/>
      <c r="P72" s="1055">
        <v>342916.18</v>
      </c>
      <c r="Q72" s="1052"/>
      <c r="R72" s="1052"/>
      <c r="S72" s="1052"/>
      <c r="T72" s="1052"/>
      <c r="U72" s="1052"/>
      <c r="V72" s="1052"/>
      <c r="W72" s="1052"/>
      <c r="X72" s="1052"/>
    </row>
    <row r="73" spans="1:24" ht="8.25" customHeight="1">
      <c r="B73" s="1053"/>
      <c r="C73" s="1056"/>
      <c r="D73" s="1053"/>
      <c r="E73" s="1056"/>
      <c r="F73" s="1053"/>
      <c r="G73" s="1056"/>
      <c r="H73" s="1053"/>
      <c r="I73" s="1056"/>
      <c r="J73" s="1053"/>
      <c r="K73" s="1056"/>
      <c r="L73" s="1053"/>
      <c r="M73" s="1056"/>
      <c r="N73" s="1053"/>
      <c r="O73" s="1056"/>
      <c r="P73" s="1055"/>
      <c r="Q73" s="1052"/>
      <c r="R73" s="1052"/>
      <c r="S73" s="1052"/>
      <c r="T73" s="1052"/>
      <c r="U73" s="1052"/>
      <c r="V73" s="1052"/>
      <c r="W73" s="1052"/>
      <c r="X73" s="1052"/>
    </row>
    <row r="74" spans="1:24" ht="12" customHeight="1">
      <c r="A74" s="993" t="s">
        <v>108</v>
      </c>
      <c r="B74" s="1053">
        <v>126788980</v>
      </c>
      <c r="C74" s="1059"/>
      <c r="D74" s="1053">
        <v>2418796.89</v>
      </c>
      <c r="E74" s="1059"/>
      <c r="F74" s="1053">
        <v>435750</v>
      </c>
      <c r="G74" s="1059"/>
      <c r="H74" s="1053">
        <v>6623.4</v>
      </c>
      <c r="I74" s="1059"/>
      <c r="J74" s="1053">
        <v>11372483</v>
      </c>
      <c r="K74" s="1059"/>
      <c r="L74" s="1053">
        <v>113724.83</v>
      </c>
      <c r="M74" s="1059"/>
      <c r="N74" s="1053">
        <v>67710661</v>
      </c>
      <c r="O74" s="1059"/>
      <c r="P74" s="1055">
        <v>427328.62</v>
      </c>
      <c r="Q74" s="1052"/>
      <c r="R74" s="1052"/>
      <c r="S74" s="1052"/>
      <c r="T74" s="1052"/>
      <c r="U74" s="1052"/>
      <c r="V74" s="1052"/>
      <c r="W74" s="1052"/>
      <c r="X74" s="1052"/>
    </row>
    <row r="75" spans="1:24">
      <c r="A75" s="993" t="s">
        <v>110</v>
      </c>
      <c r="B75" s="1053">
        <v>171273811</v>
      </c>
      <c r="C75" s="1059"/>
      <c r="D75" s="1053">
        <v>3183455.8000000003</v>
      </c>
      <c r="E75" s="1059"/>
      <c r="F75" s="1053">
        <v>31255386</v>
      </c>
      <c r="G75" s="1059"/>
      <c r="H75" s="1053">
        <v>625107.72</v>
      </c>
      <c r="I75" s="1062"/>
      <c r="J75" s="1053">
        <v>5144914</v>
      </c>
      <c r="K75" s="1059"/>
      <c r="L75" s="1053">
        <v>72543.31</v>
      </c>
      <c r="M75" s="1059"/>
      <c r="N75" s="1053">
        <v>87233857</v>
      </c>
      <c r="O75" s="1059"/>
      <c r="P75" s="1055">
        <v>544105.70000000007</v>
      </c>
      <c r="Q75" s="1052"/>
      <c r="R75" s="1052"/>
      <c r="S75" s="1052"/>
      <c r="T75" s="1052"/>
      <c r="U75" s="1052"/>
      <c r="V75" s="1052"/>
      <c r="W75" s="1052"/>
      <c r="X75" s="1052"/>
    </row>
    <row r="76" spans="1:24" ht="12" customHeight="1">
      <c r="A76" s="993" t="s">
        <v>112</v>
      </c>
      <c r="B76" s="1053">
        <v>12304315280</v>
      </c>
      <c r="C76" s="1059">
        <v>26650663690</v>
      </c>
      <c r="D76" s="1053">
        <v>492597258.4817</v>
      </c>
      <c r="E76" s="1059"/>
      <c r="F76" s="1053">
        <v>138655406</v>
      </c>
      <c r="G76" s="1059">
        <v>879165274.00349987</v>
      </c>
      <c r="H76" s="1053">
        <v>4422740.4525000006</v>
      </c>
      <c r="I76" s="1059"/>
      <c r="J76" s="1053">
        <v>0</v>
      </c>
      <c r="K76" s="1062"/>
      <c r="L76" s="1053">
        <v>0</v>
      </c>
      <c r="M76" s="1062"/>
      <c r="N76" s="1053">
        <v>3072880245</v>
      </c>
      <c r="O76" s="1059"/>
      <c r="P76" s="1055">
        <v>32162569.099649999</v>
      </c>
      <c r="Q76" s="1052"/>
      <c r="R76" s="1052"/>
      <c r="S76" s="1052"/>
      <c r="T76" s="1052"/>
      <c r="U76" s="1052"/>
      <c r="V76" s="1052"/>
      <c r="W76" s="1052"/>
      <c r="X76" s="1052"/>
    </row>
    <row r="77" spans="1:24" ht="12" customHeight="1">
      <c r="A77" s="993" t="s">
        <v>114</v>
      </c>
      <c r="B77" s="1053">
        <v>466996995</v>
      </c>
      <c r="C77" s="1059"/>
      <c r="D77" s="1053">
        <v>10519539.816500001</v>
      </c>
      <c r="E77" s="1059"/>
      <c r="F77" s="1053">
        <v>16737005</v>
      </c>
      <c r="G77" s="1059"/>
      <c r="H77" s="1053">
        <v>0</v>
      </c>
      <c r="I77" s="1059"/>
      <c r="J77" s="1053">
        <v>76979270</v>
      </c>
      <c r="K77" s="1059"/>
      <c r="L77" s="1053">
        <v>500365.255</v>
      </c>
      <c r="M77" s="1059"/>
      <c r="N77" s="1053">
        <v>2310302210</v>
      </c>
      <c r="O77" s="1059"/>
      <c r="P77" s="1055">
        <v>16643551.955</v>
      </c>
      <c r="Q77" s="1052"/>
      <c r="R77" s="1052"/>
      <c r="S77" s="1052"/>
      <c r="T77" s="1052"/>
      <c r="U77" s="1052"/>
      <c r="V77" s="1052"/>
      <c r="W77" s="1052"/>
      <c r="X77" s="1052"/>
    </row>
    <row r="78" spans="1:24" ht="12" customHeight="1">
      <c r="A78" s="993" t="s">
        <v>116</v>
      </c>
      <c r="B78" s="1053">
        <v>99107580</v>
      </c>
      <c r="C78" s="1059"/>
      <c r="D78" s="1053">
        <v>3559236.7408000003</v>
      </c>
      <c r="E78" s="1059"/>
      <c r="F78" s="1053">
        <v>18453932</v>
      </c>
      <c r="G78" s="1059"/>
      <c r="H78" s="1053">
        <v>332170.74</v>
      </c>
      <c r="I78" s="1059"/>
      <c r="J78" s="1053">
        <v>7481209</v>
      </c>
      <c r="K78" s="1059"/>
      <c r="L78" s="1053">
        <v>89774.51</v>
      </c>
      <c r="M78" s="1059"/>
      <c r="N78" s="1053">
        <v>44092247</v>
      </c>
      <c r="O78" s="1059"/>
      <c r="P78" s="1055">
        <v>167550.5386</v>
      </c>
      <c r="Q78" s="1052"/>
      <c r="R78" s="1052"/>
      <c r="S78" s="1052"/>
      <c r="T78" s="1052"/>
      <c r="U78" s="1052"/>
      <c r="V78" s="1052"/>
      <c r="W78" s="1052"/>
      <c r="X78" s="1052"/>
    </row>
    <row r="79" spans="1:24" ht="8.25" customHeight="1">
      <c r="B79" s="1053"/>
      <c r="C79" s="1059"/>
      <c r="D79" s="1053"/>
      <c r="E79" s="1059"/>
      <c r="F79" s="1053"/>
      <c r="G79" s="1059"/>
      <c r="H79" s="1053"/>
      <c r="I79" s="1059"/>
      <c r="J79" s="1053"/>
      <c r="K79" s="1059"/>
      <c r="L79" s="1053"/>
      <c r="M79" s="1059"/>
      <c r="N79" s="1053"/>
      <c r="O79" s="1059"/>
      <c r="P79" s="1055"/>
      <c r="Q79" s="1052"/>
      <c r="R79" s="1052"/>
      <c r="S79" s="1052"/>
      <c r="T79" s="1052"/>
      <c r="U79" s="1052"/>
      <c r="V79" s="1052"/>
      <c r="W79" s="1052"/>
      <c r="X79" s="1052"/>
    </row>
    <row r="80" spans="1:24" ht="12" customHeight="1">
      <c r="A80" s="993" t="s">
        <v>118</v>
      </c>
      <c r="B80" s="1053">
        <v>139080580</v>
      </c>
      <c r="C80" s="1059"/>
      <c r="D80" s="1053">
        <v>4882933.8619999988</v>
      </c>
      <c r="E80" s="1059"/>
      <c r="F80" s="1053">
        <v>7984750</v>
      </c>
      <c r="G80" s="1059"/>
      <c r="H80" s="1053">
        <v>133345.32499999998</v>
      </c>
      <c r="I80" s="1059"/>
      <c r="J80" s="1053">
        <v>27559017</v>
      </c>
      <c r="K80" s="1059"/>
      <c r="L80" s="1053">
        <v>237007.54620000001</v>
      </c>
      <c r="M80" s="1059"/>
      <c r="N80" s="1053">
        <v>49926043</v>
      </c>
      <c r="O80" s="1059"/>
      <c r="P80" s="1055">
        <v>349482.30100000004</v>
      </c>
      <c r="Q80" s="1052"/>
      <c r="R80" s="1052"/>
      <c r="S80" s="1052"/>
      <c r="T80" s="1052"/>
      <c r="U80" s="1052"/>
      <c r="V80" s="1052"/>
      <c r="W80" s="1052"/>
      <c r="X80" s="1052"/>
    </row>
    <row r="81" spans="1:24" ht="12" customHeight="1">
      <c r="A81" s="993" t="s">
        <v>120</v>
      </c>
      <c r="B81" s="1057">
        <v>144452272</v>
      </c>
      <c r="C81" s="1054"/>
      <c r="D81" s="1057">
        <v>3884096.9299999997</v>
      </c>
      <c r="E81" s="1054"/>
      <c r="F81" s="1057">
        <v>0</v>
      </c>
      <c r="G81" s="1054"/>
      <c r="H81" s="1057">
        <v>0</v>
      </c>
      <c r="I81" s="1054"/>
      <c r="J81" s="1057">
        <v>0</v>
      </c>
      <c r="K81" s="1054"/>
      <c r="L81" s="1057">
        <v>0</v>
      </c>
      <c r="M81" s="1054"/>
      <c r="N81" s="1057">
        <v>24587836</v>
      </c>
      <c r="O81" s="1054"/>
      <c r="P81" s="1057">
        <v>159076.40125000002</v>
      </c>
      <c r="Q81" s="1052"/>
      <c r="R81" s="1052"/>
      <c r="S81" s="1052"/>
      <c r="T81" s="1052"/>
      <c r="U81" s="1052"/>
      <c r="V81" s="1052"/>
      <c r="W81" s="1052"/>
      <c r="X81" s="1052"/>
    </row>
    <row r="82" spans="1:24" ht="12" customHeight="1">
      <c r="A82" s="993" t="s">
        <v>122</v>
      </c>
      <c r="B82" s="1053">
        <v>1497897134</v>
      </c>
      <c r="C82" s="1059"/>
      <c r="D82" s="1053">
        <v>49801696.839999996</v>
      </c>
      <c r="E82" s="1059"/>
      <c r="F82" s="1053">
        <v>111271749</v>
      </c>
      <c r="G82" s="1059"/>
      <c r="H82" s="1053">
        <v>734395.8600000001</v>
      </c>
      <c r="I82" s="1059"/>
      <c r="J82" s="1053">
        <v>72978518</v>
      </c>
      <c r="K82" s="1059"/>
      <c r="L82" s="1053">
        <v>525446.84</v>
      </c>
      <c r="M82" s="1059"/>
      <c r="N82" s="1053">
        <v>341051293</v>
      </c>
      <c r="O82" s="1059"/>
      <c r="P82" s="1055">
        <v>1439304</v>
      </c>
      <c r="Q82" s="1052"/>
      <c r="R82" s="1052"/>
      <c r="S82" s="1052"/>
      <c r="T82" s="1052"/>
      <c r="U82" s="1052"/>
      <c r="V82" s="1052"/>
      <c r="W82" s="1052"/>
      <c r="X82" s="1052"/>
    </row>
    <row r="83" spans="1:24" ht="12" customHeight="1">
      <c r="A83" s="993" t="s">
        <v>124</v>
      </c>
      <c r="B83" s="1053">
        <v>242606257</v>
      </c>
      <c r="C83" s="1059"/>
      <c r="D83" s="1053">
        <v>3752585.0375999999</v>
      </c>
      <c r="E83" s="1059"/>
      <c r="F83" s="1053">
        <v>0</v>
      </c>
      <c r="G83" s="1059"/>
      <c r="H83" s="1053">
        <v>0</v>
      </c>
      <c r="I83" s="1059"/>
      <c r="J83" s="1053">
        <v>0</v>
      </c>
      <c r="K83" s="1059"/>
      <c r="L83" s="1053">
        <v>0</v>
      </c>
      <c r="M83" s="1059"/>
      <c r="N83" s="1053">
        <v>54234590</v>
      </c>
      <c r="O83" s="1059"/>
      <c r="P83" s="1055">
        <v>337156.07399999996</v>
      </c>
      <c r="Q83" s="1052"/>
      <c r="R83" s="1052"/>
      <c r="S83" s="1052"/>
      <c r="T83" s="1052"/>
      <c r="U83" s="1052"/>
      <c r="V83" s="1052"/>
      <c r="W83" s="1052"/>
      <c r="X83" s="1052"/>
    </row>
    <row r="84" spans="1:24" ht="12" customHeight="1">
      <c r="A84" s="993" t="s">
        <v>126</v>
      </c>
      <c r="B84" s="1053">
        <v>833858782</v>
      </c>
      <c r="C84" s="1054"/>
      <c r="D84" s="1053">
        <v>20829414.610000003</v>
      </c>
      <c r="E84" s="1054"/>
      <c r="F84" s="1053">
        <v>170149272</v>
      </c>
      <c r="G84" s="1054"/>
      <c r="H84" s="1053">
        <v>3096716.78</v>
      </c>
      <c r="I84" s="1054"/>
      <c r="J84" s="1053">
        <v>47984352</v>
      </c>
      <c r="K84" s="1054"/>
      <c r="L84" s="1053">
        <v>1463523.09</v>
      </c>
      <c r="M84" s="1054"/>
      <c r="N84" s="1053">
        <v>281205595</v>
      </c>
      <c r="O84" s="1054"/>
      <c r="P84" s="1055">
        <v>2508817.7800000003</v>
      </c>
      <c r="Q84" s="1052"/>
      <c r="R84" s="1052"/>
      <c r="S84" s="1052"/>
      <c r="T84" s="1052"/>
      <c r="U84" s="1052"/>
      <c r="V84" s="1052"/>
      <c r="W84" s="1052"/>
      <c r="X84" s="1052"/>
    </row>
    <row r="85" spans="1:24" ht="15">
      <c r="A85" s="1039" t="s">
        <v>1096</v>
      </c>
      <c r="B85" s="1040"/>
      <c r="C85" s="1006"/>
      <c r="D85" s="1040"/>
      <c r="E85" s="1006"/>
      <c r="F85" s="1040"/>
      <c r="G85" s="1006"/>
      <c r="H85" s="1040"/>
      <c r="I85" s="1006"/>
      <c r="J85" s="1040"/>
      <c r="K85" s="1006"/>
      <c r="L85" s="1040"/>
      <c r="M85" s="1006"/>
      <c r="N85" s="1040"/>
      <c r="O85" s="1006"/>
      <c r="P85" s="1040"/>
      <c r="Q85" s="1010"/>
      <c r="R85" s="1010"/>
      <c r="S85" s="1010"/>
      <c r="T85" s="1010"/>
      <c r="U85" s="1010"/>
      <c r="V85" s="1010"/>
      <c r="W85" s="1010"/>
      <c r="X85" s="1010"/>
    </row>
    <row r="86" spans="1:24" ht="12.75">
      <c r="A86" s="1041" t="s">
        <v>1089</v>
      </c>
      <c r="B86" s="1042"/>
      <c r="C86" s="1042"/>
      <c r="D86" s="1042"/>
      <c r="E86" s="1042"/>
      <c r="F86" s="1042"/>
      <c r="G86" s="1042"/>
      <c r="H86" s="1042"/>
      <c r="I86" s="1042"/>
      <c r="J86" s="1042"/>
      <c r="K86" s="1042"/>
      <c r="L86" s="1042"/>
      <c r="M86" s="1042"/>
      <c r="N86" s="1042"/>
      <c r="O86" s="1042"/>
      <c r="P86" s="1042"/>
      <c r="Q86" s="1043"/>
      <c r="R86" s="1043"/>
      <c r="S86" s="1043"/>
      <c r="T86" s="1043"/>
      <c r="U86" s="1043"/>
      <c r="V86" s="1043"/>
      <c r="W86" s="1043"/>
      <c r="X86" s="1043"/>
    </row>
    <row r="87" spans="1:24" ht="12.75">
      <c r="A87" s="1217" t="str">
        <f>A45</f>
        <v>Assessed Values and Levies by Locality - Tax Year 2019</v>
      </c>
      <c r="B87" s="1216"/>
      <c r="C87" s="1216"/>
      <c r="D87" s="1216"/>
      <c r="E87" s="1216"/>
      <c r="F87" s="1216"/>
      <c r="G87" s="1216"/>
      <c r="H87" s="1216"/>
      <c r="I87" s="1216"/>
      <c r="J87" s="1216"/>
      <c r="K87" s="1216"/>
      <c r="L87" s="1216"/>
      <c r="M87" s="1216"/>
      <c r="N87" s="1216"/>
      <c r="O87" s="1216"/>
      <c r="P87" s="1216"/>
      <c r="Q87" s="1044"/>
      <c r="R87" s="1044"/>
      <c r="S87" s="1044"/>
      <c r="T87" s="1044"/>
      <c r="U87" s="1044"/>
      <c r="V87" s="1044"/>
      <c r="W87" s="1044"/>
      <c r="X87" s="1044"/>
    </row>
    <row r="88" spans="1:24" ht="11.25" customHeight="1" thickBot="1">
      <c r="A88" s="1007"/>
      <c r="B88" s="1007"/>
      <c r="C88" s="1007"/>
      <c r="D88" s="1007"/>
      <c r="E88" s="1007"/>
      <c r="F88" s="1007"/>
      <c r="G88" s="1007"/>
      <c r="H88" s="1007"/>
      <c r="I88" s="1007"/>
      <c r="J88" s="1007"/>
      <c r="K88" s="1007"/>
      <c r="L88" s="1007"/>
      <c r="M88" s="1007"/>
      <c r="N88" s="1007"/>
      <c r="O88" s="1007"/>
      <c r="P88" s="1007"/>
      <c r="Q88" s="1044"/>
      <c r="R88" s="1044"/>
      <c r="S88" s="1044"/>
      <c r="T88" s="1044"/>
      <c r="U88" s="1044"/>
      <c r="V88" s="1044"/>
      <c r="W88" s="1044"/>
      <c r="X88" s="1044"/>
    </row>
    <row r="89" spans="1:24" ht="14.25" customHeight="1">
      <c r="A89" s="1006"/>
      <c r="B89" s="1400" t="s">
        <v>1090</v>
      </c>
      <c r="C89" s="1400"/>
      <c r="D89" s="1400"/>
      <c r="E89" s="1006"/>
      <c r="F89" s="1400" t="s">
        <v>1091</v>
      </c>
      <c r="G89" s="1400"/>
      <c r="H89" s="1400"/>
      <c r="I89" s="1006"/>
      <c r="J89" s="1400" t="s">
        <v>1092</v>
      </c>
      <c r="K89" s="1400"/>
      <c r="L89" s="1400"/>
      <c r="M89" s="1006"/>
      <c r="N89" s="1400" t="s">
        <v>1093</v>
      </c>
      <c r="O89" s="1400"/>
      <c r="P89" s="1400"/>
      <c r="Q89" s="1045"/>
      <c r="R89" s="1045"/>
      <c r="S89" s="1045"/>
      <c r="T89" s="1045"/>
      <c r="U89" s="1045"/>
      <c r="V89" s="1045"/>
      <c r="W89" s="1045"/>
      <c r="X89" s="1045"/>
    </row>
    <row r="90" spans="1:24" ht="12" customHeight="1">
      <c r="A90" s="1046" t="s">
        <v>23</v>
      </c>
      <c r="B90" s="1047" t="s">
        <v>1094</v>
      </c>
      <c r="C90" s="1016"/>
      <c r="D90" s="1047" t="s">
        <v>1095</v>
      </c>
      <c r="E90" s="1016"/>
      <c r="F90" s="1047" t="s">
        <v>1094</v>
      </c>
      <c r="G90" s="1016"/>
      <c r="H90" s="1047" t="s">
        <v>1095</v>
      </c>
      <c r="I90" s="1016"/>
      <c r="J90" s="1047" t="s">
        <v>1094</v>
      </c>
      <c r="K90" s="1016"/>
      <c r="L90" s="1047" t="s">
        <v>1095</v>
      </c>
      <c r="M90" s="1016"/>
      <c r="N90" s="1047" t="s">
        <v>1094</v>
      </c>
      <c r="O90" s="1016"/>
      <c r="P90" s="1047" t="s">
        <v>1095</v>
      </c>
      <c r="Q90" s="1048"/>
      <c r="R90" s="1048"/>
      <c r="S90" s="1048"/>
      <c r="T90" s="1048"/>
      <c r="U90" s="1048"/>
      <c r="V90" s="1048"/>
      <c r="W90" s="1048"/>
      <c r="X90" s="1048"/>
    </row>
    <row r="91" spans="1:24" ht="8.25" customHeight="1">
      <c r="B91" s="1053"/>
      <c r="C91" s="1056"/>
      <c r="D91" s="1053"/>
      <c r="E91" s="1056"/>
      <c r="F91" s="1053"/>
      <c r="G91" s="1056"/>
      <c r="H91" s="1053"/>
      <c r="I91" s="1056"/>
      <c r="J91" s="1053"/>
      <c r="K91" s="1056"/>
      <c r="L91" s="1053"/>
      <c r="M91" s="1056"/>
      <c r="N91" s="1053"/>
      <c r="O91" s="1056"/>
      <c r="P91" s="1055"/>
      <c r="Q91" s="1052"/>
      <c r="R91" s="1052"/>
      <c r="S91" s="1052"/>
      <c r="T91" s="1052"/>
      <c r="U91" s="1052"/>
      <c r="V91" s="1052"/>
      <c r="W91" s="1052"/>
      <c r="X91" s="1052"/>
    </row>
    <row r="92" spans="1:24" ht="12" customHeight="1">
      <c r="A92" s="993" t="s">
        <v>128</v>
      </c>
      <c r="B92" s="1049">
        <v>170019130</v>
      </c>
      <c r="C92" s="1050"/>
      <c r="D92" s="1049">
        <v>5620752.6600000001</v>
      </c>
      <c r="E92" s="1050"/>
      <c r="F92" s="1049">
        <v>7691949</v>
      </c>
      <c r="G92" s="1050"/>
      <c r="H92" s="1049">
        <v>96149.440000000002</v>
      </c>
      <c r="I92" s="1050"/>
      <c r="J92" s="1049">
        <v>0</v>
      </c>
      <c r="K92" s="1050"/>
      <c r="L92" s="1049">
        <v>0</v>
      </c>
      <c r="M92" s="1050"/>
      <c r="N92" s="1049">
        <v>125563949</v>
      </c>
      <c r="O92" s="1050"/>
      <c r="P92" s="1051">
        <v>950728.83000000007</v>
      </c>
      <c r="Q92" s="1052"/>
      <c r="R92" s="1052"/>
      <c r="S92" s="1052"/>
      <c r="T92" s="1052"/>
      <c r="U92" s="1052"/>
      <c r="V92" s="1052"/>
      <c r="W92" s="1052"/>
      <c r="X92" s="1052"/>
    </row>
    <row r="93" spans="1:24" ht="12" customHeight="1">
      <c r="A93" s="993" t="s">
        <v>130</v>
      </c>
      <c r="B93" s="1054">
        <v>249151017</v>
      </c>
      <c r="C93" s="1054"/>
      <c r="D93" s="1054">
        <v>9196543.3200000003</v>
      </c>
      <c r="E93" s="1054"/>
      <c r="F93" s="1054">
        <v>4583194</v>
      </c>
      <c r="G93" s="1054"/>
      <c r="H93" s="1054">
        <v>34330.699999999997</v>
      </c>
      <c r="I93" s="1054"/>
      <c r="J93" s="1054">
        <v>0</v>
      </c>
      <c r="K93" s="1054"/>
      <c r="L93" s="1054">
        <v>0</v>
      </c>
      <c r="M93" s="1054"/>
      <c r="N93" s="1054">
        <v>153666593</v>
      </c>
      <c r="O93" s="1054"/>
      <c r="P93" s="1054">
        <v>1260160.94</v>
      </c>
      <c r="Q93" s="1052"/>
      <c r="R93" s="1052"/>
      <c r="S93" s="1052"/>
      <c r="T93" s="1052"/>
      <c r="U93" s="1052"/>
      <c r="V93" s="1052"/>
      <c r="W93" s="1052"/>
      <c r="X93" s="1052"/>
    </row>
    <row r="94" spans="1:24" ht="12" customHeight="1">
      <c r="A94" s="993" t="s">
        <v>132</v>
      </c>
      <c r="B94" s="1054">
        <v>140422800</v>
      </c>
      <c r="C94" s="1059"/>
      <c r="D94" s="1054">
        <v>5064540.7</v>
      </c>
      <c r="E94" s="1059"/>
      <c r="F94" s="1054">
        <v>14350800</v>
      </c>
      <c r="G94" s="1059"/>
      <c r="H94" s="1054">
        <v>232135.34000000003</v>
      </c>
      <c r="I94" s="1059"/>
      <c r="J94" s="1054">
        <v>0</v>
      </c>
      <c r="K94" s="1059"/>
      <c r="L94" s="1054">
        <v>0</v>
      </c>
      <c r="M94" s="1059"/>
      <c r="N94" s="1054">
        <v>56636303</v>
      </c>
      <c r="O94" s="1059"/>
      <c r="P94" s="1054">
        <v>470114.07</v>
      </c>
      <c r="Q94" s="1052"/>
      <c r="R94" s="1052"/>
      <c r="S94" s="1052"/>
      <c r="T94" s="1052"/>
      <c r="U94" s="1052"/>
      <c r="V94" s="1052"/>
      <c r="W94" s="1052"/>
      <c r="X94" s="1052"/>
    </row>
    <row r="95" spans="1:24" ht="12" customHeight="1">
      <c r="A95" s="993" t="s">
        <v>134</v>
      </c>
      <c r="B95" s="1054">
        <v>122331286</v>
      </c>
      <c r="C95" s="1059"/>
      <c r="D95" s="1054">
        <v>4231086</v>
      </c>
      <c r="E95" s="1059"/>
      <c r="F95" s="1054">
        <v>6480685</v>
      </c>
      <c r="G95" s="1059"/>
      <c r="H95" s="1054">
        <v>233304</v>
      </c>
      <c r="I95" s="1059"/>
      <c r="J95" s="1054">
        <v>4566290</v>
      </c>
      <c r="K95" s="1059"/>
      <c r="L95" s="1054">
        <v>45663</v>
      </c>
      <c r="M95" s="1059"/>
      <c r="N95" s="1054">
        <v>53515841</v>
      </c>
      <c r="O95" s="1059"/>
      <c r="P95" s="1054">
        <v>315743</v>
      </c>
      <c r="Q95" s="1052"/>
      <c r="R95" s="1052"/>
      <c r="S95" s="1052"/>
      <c r="T95" s="1052"/>
      <c r="U95" s="1052"/>
      <c r="V95" s="1052"/>
      <c r="W95" s="1052"/>
      <c r="X95" s="1052"/>
    </row>
    <row r="96" spans="1:24" ht="12" customHeight="1">
      <c r="A96" s="993" t="s">
        <v>136</v>
      </c>
      <c r="B96" s="1054">
        <v>94579494</v>
      </c>
      <c r="C96" s="1059"/>
      <c r="D96" s="1054">
        <v>3430337.24</v>
      </c>
      <c r="E96" s="1059"/>
      <c r="F96" s="1054">
        <v>7921912</v>
      </c>
      <c r="G96" s="1059"/>
      <c r="H96" s="1054">
        <v>106945.82</v>
      </c>
      <c r="I96" s="1059"/>
      <c r="J96" s="1054">
        <v>0</v>
      </c>
      <c r="K96" s="1062"/>
      <c r="L96" s="1054">
        <v>0</v>
      </c>
      <c r="M96" s="1062"/>
      <c r="N96" s="1054">
        <v>119080327</v>
      </c>
      <c r="O96" s="1059"/>
      <c r="P96" s="1054">
        <v>619507.81999999995</v>
      </c>
      <c r="Q96" s="1052"/>
      <c r="R96" s="1052"/>
      <c r="S96" s="1052"/>
      <c r="T96" s="1052"/>
      <c r="U96" s="1052"/>
      <c r="V96" s="1052"/>
      <c r="W96" s="1052"/>
      <c r="X96" s="1052"/>
    </row>
    <row r="97" spans="1:24" ht="8.25" customHeight="1">
      <c r="B97" s="1054"/>
      <c r="C97" s="1059"/>
      <c r="D97" s="1054"/>
      <c r="E97" s="1059"/>
      <c r="F97" s="1054"/>
      <c r="G97" s="1059"/>
      <c r="H97" s="1054"/>
      <c r="I97" s="1059"/>
      <c r="J97" s="1054"/>
      <c r="K97" s="1062"/>
      <c r="L97" s="1054"/>
      <c r="M97" s="1062"/>
      <c r="N97" s="1054"/>
      <c r="O97" s="1059"/>
      <c r="P97" s="1054"/>
      <c r="Q97" s="1065"/>
      <c r="R97" s="1065"/>
      <c r="S97" s="1065"/>
      <c r="T97" s="1065"/>
      <c r="U97" s="1065"/>
      <c r="V97" s="1065"/>
      <c r="W97" s="1065"/>
      <c r="X97" s="1065"/>
    </row>
    <row r="98" spans="1:24" ht="12" customHeight="1">
      <c r="A98" s="993" t="s">
        <v>138</v>
      </c>
      <c r="B98" s="1054">
        <v>350405480</v>
      </c>
      <c r="C98" s="1059"/>
      <c r="D98" s="1054">
        <v>12135347.02</v>
      </c>
      <c r="E98" s="1059"/>
      <c r="F98" s="1054">
        <v>48217255</v>
      </c>
      <c r="G98" s="1059"/>
      <c r="H98" s="1054">
        <v>882857.94</v>
      </c>
      <c r="I98" s="1059"/>
      <c r="J98" s="1054">
        <v>52409004</v>
      </c>
      <c r="K98" s="1059"/>
      <c r="L98" s="1054">
        <v>209636.03</v>
      </c>
      <c r="M98" s="1059"/>
      <c r="N98" s="1054">
        <v>174898556</v>
      </c>
      <c r="O98" s="1059"/>
      <c r="P98" s="1054">
        <v>1409185.94</v>
      </c>
      <c r="Q98" s="1052"/>
      <c r="R98" s="1052"/>
      <c r="S98" s="1052"/>
      <c r="T98" s="1052"/>
      <c r="U98" s="1052"/>
      <c r="V98" s="1052"/>
      <c r="W98" s="1052"/>
      <c r="X98" s="1052"/>
    </row>
    <row r="99" spans="1:24" ht="12" customHeight="1">
      <c r="A99" s="993" t="s">
        <v>140</v>
      </c>
      <c r="B99" s="1054">
        <v>237032980</v>
      </c>
      <c r="C99" s="1059"/>
      <c r="D99" s="1054">
        <v>8875817.620000001</v>
      </c>
      <c r="E99" s="1059"/>
      <c r="F99" s="1054">
        <v>23992320</v>
      </c>
      <c r="G99" s="1059"/>
      <c r="H99" s="1054">
        <v>479846.40000000002</v>
      </c>
      <c r="I99" s="1059"/>
      <c r="J99" s="1054">
        <v>0</v>
      </c>
      <c r="K99" s="1062"/>
      <c r="L99" s="1054">
        <v>0</v>
      </c>
      <c r="M99" s="1062"/>
      <c r="N99" s="1054">
        <v>97181243</v>
      </c>
      <c r="O99" s="1059"/>
      <c r="P99" s="1054">
        <v>739000.01</v>
      </c>
      <c r="Q99" s="1052"/>
      <c r="R99" s="1052"/>
      <c r="S99" s="1052"/>
      <c r="T99" s="1052"/>
      <c r="U99" s="1052"/>
      <c r="V99" s="1052"/>
      <c r="W99" s="1052"/>
      <c r="X99" s="1052"/>
    </row>
    <row r="100" spans="1:24" ht="12" customHeight="1">
      <c r="A100" s="993" t="s">
        <v>141</v>
      </c>
      <c r="B100" s="1054">
        <v>184787026</v>
      </c>
      <c r="C100" s="1059"/>
      <c r="D100" s="1054">
        <v>2995659.92</v>
      </c>
      <c r="E100" s="1059"/>
      <c r="F100" s="1054">
        <v>40593034</v>
      </c>
      <c r="G100" s="1059"/>
      <c r="H100" s="1054">
        <v>694140.9</v>
      </c>
      <c r="I100" s="1059"/>
      <c r="J100" s="1053">
        <v>0</v>
      </c>
      <c r="K100" s="1062"/>
      <c r="L100" s="1054">
        <v>0</v>
      </c>
      <c r="M100" s="1062"/>
      <c r="N100" s="1054">
        <v>65421344</v>
      </c>
      <c r="O100" s="1059"/>
      <c r="P100" s="1054">
        <v>445639.31</v>
      </c>
      <c r="Q100" s="1052"/>
      <c r="R100" s="1052"/>
      <c r="S100" s="1052"/>
      <c r="T100" s="1052"/>
      <c r="U100" s="1052"/>
      <c r="V100" s="1052"/>
      <c r="W100" s="1052"/>
      <c r="X100" s="1052"/>
    </row>
    <row r="101" spans="1:24" ht="12" customHeight="1">
      <c r="A101" s="993" t="s">
        <v>143</v>
      </c>
      <c r="B101" s="1054">
        <v>187823174</v>
      </c>
      <c r="C101" s="1059"/>
      <c r="D101" s="1054">
        <v>13266896.3748</v>
      </c>
      <c r="E101" s="1059"/>
      <c r="F101" s="1054">
        <v>43403370</v>
      </c>
      <c r="G101" s="1059"/>
      <c r="H101" s="1054">
        <v>1953151.65</v>
      </c>
      <c r="I101" s="1059"/>
      <c r="J101" s="1054">
        <v>13336660</v>
      </c>
      <c r="K101" s="1059"/>
      <c r="L101" s="1054">
        <v>366758.15</v>
      </c>
      <c r="M101" s="1059"/>
      <c r="N101" s="1054">
        <v>480184634</v>
      </c>
      <c r="O101" s="1059"/>
      <c r="P101" s="1054">
        <v>3085999.0871999995</v>
      </c>
      <c r="Q101" s="1052"/>
      <c r="R101" s="1052"/>
      <c r="S101" s="1052"/>
      <c r="T101" s="1052"/>
      <c r="U101" s="1052"/>
      <c r="V101" s="1052"/>
      <c r="W101" s="1052"/>
      <c r="X101" s="1052"/>
    </row>
    <row r="102" spans="1:24" ht="12" customHeight="1">
      <c r="A102" s="993" t="s">
        <v>145</v>
      </c>
      <c r="B102" s="1054">
        <v>393498252</v>
      </c>
      <c r="C102" s="1059"/>
      <c r="D102" s="1054">
        <v>14143279.526400002</v>
      </c>
      <c r="E102" s="1059"/>
      <c r="F102" s="1054">
        <v>29627275</v>
      </c>
      <c r="G102" s="1059"/>
      <c r="H102" s="1054">
        <v>1066581.8999999999</v>
      </c>
      <c r="I102" s="1059"/>
      <c r="J102" s="1054">
        <v>0</v>
      </c>
      <c r="K102" s="1059"/>
      <c r="L102" s="1054">
        <v>0</v>
      </c>
      <c r="M102" s="1059"/>
      <c r="N102" s="1054">
        <v>108294141</v>
      </c>
      <c r="O102" s="1059"/>
      <c r="P102" s="1054">
        <v>954143.13520000002</v>
      </c>
      <c r="Q102" s="1052"/>
      <c r="R102" s="1052"/>
      <c r="S102" s="1052"/>
      <c r="T102" s="1052"/>
      <c r="U102" s="1052"/>
      <c r="V102" s="1052"/>
      <c r="W102" s="1052"/>
      <c r="X102" s="1052"/>
    </row>
    <row r="103" spans="1:24" ht="8.25" customHeight="1">
      <c r="B103" s="1057"/>
      <c r="C103" s="1056"/>
      <c r="D103" s="1057"/>
      <c r="E103" s="1056"/>
      <c r="F103" s="1057"/>
      <c r="G103" s="1056"/>
      <c r="H103" s="1057"/>
      <c r="I103" s="1056"/>
      <c r="J103" s="1057"/>
      <c r="K103" s="1056"/>
      <c r="L103" s="1057"/>
      <c r="M103" s="1056"/>
      <c r="N103" s="1057"/>
      <c r="O103" s="1056"/>
      <c r="P103" s="1064"/>
      <c r="Q103" s="1052"/>
      <c r="R103" s="1052"/>
      <c r="S103" s="1052"/>
      <c r="T103" s="1052"/>
      <c r="U103" s="1052"/>
      <c r="V103" s="1052"/>
      <c r="W103" s="1052"/>
      <c r="X103" s="1052"/>
    </row>
    <row r="104" spans="1:24" ht="12" customHeight="1">
      <c r="A104" s="993" t="s">
        <v>146</v>
      </c>
      <c r="B104" s="1054">
        <v>311342472</v>
      </c>
      <c r="C104" s="1054"/>
      <c r="D104" s="1054">
        <v>6834512.8000000007</v>
      </c>
      <c r="E104" s="1054"/>
      <c r="F104" s="1054">
        <v>1198870</v>
      </c>
      <c r="G104" s="1054"/>
      <c r="H104" s="1054">
        <v>50352.54</v>
      </c>
      <c r="I104" s="1054"/>
      <c r="J104" s="1054">
        <v>57016125</v>
      </c>
      <c r="K104" s="1054"/>
      <c r="L104" s="1054">
        <v>399112.88</v>
      </c>
      <c r="M104" s="1054"/>
      <c r="N104" s="1054">
        <v>114817696</v>
      </c>
      <c r="O104" s="1054"/>
      <c r="P104" s="1054">
        <v>608205.52</v>
      </c>
      <c r="Q104" s="1052"/>
      <c r="R104" s="1052"/>
      <c r="S104" s="1052"/>
      <c r="T104" s="1052"/>
      <c r="U104" s="1052"/>
      <c r="V104" s="1052"/>
      <c r="W104" s="1052"/>
      <c r="X104" s="1052"/>
    </row>
    <row r="105" spans="1:24" ht="12" customHeight="1">
      <c r="A105" s="993" t="s">
        <v>148</v>
      </c>
      <c r="B105" s="1054">
        <v>317764831</v>
      </c>
      <c r="C105" s="1059"/>
      <c r="D105" s="1054">
        <v>12738036.177499998</v>
      </c>
      <c r="E105" s="1059"/>
      <c r="F105" s="1054">
        <v>98618775</v>
      </c>
      <c r="G105" s="1059"/>
      <c r="H105" s="1054">
        <v>1479281.625</v>
      </c>
      <c r="I105" s="1059"/>
      <c r="J105" s="1054">
        <v>0</v>
      </c>
      <c r="K105" s="1062"/>
      <c r="L105" s="1054">
        <v>0</v>
      </c>
      <c r="M105" s="1062"/>
      <c r="N105" s="1054">
        <v>184685926</v>
      </c>
      <c r="O105" s="1059"/>
      <c r="P105" s="1054">
        <v>1588298.9635999999</v>
      </c>
      <c r="Q105" s="1052"/>
      <c r="R105" s="1052"/>
      <c r="S105" s="1052"/>
      <c r="T105" s="1052"/>
      <c r="U105" s="1052"/>
      <c r="V105" s="1052"/>
      <c r="W105" s="1052"/>
      <c r="X105" s="1052"/>
    </row>
    <row r="106" spans="1:24">
      <c r="A106" s="993" t="s">
        <v>150</v>
      </c>
      <c r="B106" s="1054">
        <v>6328961082.6799994</v>
      </c>
      <c r="C106" s="1059"/>
      <c r="D106" s="1054">
        <v>214809807.52000001</v>
      </c>
      <c r="E106" s="1059"/>
      <c r="F106" s="1054">
        <v>0</v>
      </c>
      <c r="G106" s="1059"/>
      <c r="H106" s="1054">
        <v>0</v>
      </c>
      <c r="I106" s="1059"/>
      <c r="J106" s="1054">
        <v>0</v>
      </c>
      <c r="K106" s="1062"/>
      <c r="L106" s="1054">
        <v>0</v>
      </c>
      <c r="M106" s="1062"/>
      <c r="N106" s="1054">
        <v>1891971137</v>
      </c>
      <c r="O106" s="1059"/>
      <c r="P106" s="1054">
        <v>21383490.734999999</v>
      </c>
      <c r="Q106" s="1052"/>
      <c r="R106" s="1052"/>
      <c r="S106" s="1052"/>
      <c r="T106" s="1052"/>
      <c r="U106" s="1052"/>
      <c r="V106" s="1052"/>
      <c r="W106" s="1052"/>
      <c r="X106" s="1052"/>
    </row>
    <row r="107" spans="1:24" ht="12" customHeight="1">
      <c r="A107" s="993" t="s">
        <v>152</v>
      </c>
      <c r="B107" s="1054">
        <v>351551716</v>
      </c>
      <c r="C107" s="1059"/>
      <c r="D107" s="1054">
        <v>8141550.8300000001</v>
      </c>
      <c r="E107" s="1059"/>
      <c r="F107" s="1054">
        <v>275139003</v>
      </c>
      <c r="G107" s="1059"/>
      <c r="H107" s="1054">
        <v>4127085.18</v>
      </c>
      <c r="I107" s="1059"/>
      <c r="J107" s="1054">
        <v>0</v>
      </c>
      <c r="K107" s="1059"/>
      <c r="L107" s="1054">
        <v>0</v>
      </c>
      <c r="M107" s="1059"/>
      <c r="N107" s="1054">
        <v>0</v>
      </c>
      <c r="O107" s="1059"/>
      <c r="P107" s="1054">
        <v>0</v>
      </c>
      <c r="Q107" s="1052"/>
      <c r="R107" s="1052"/>
      <c r="S107" s="1052"/>
      <c r="T107" s="1052"/>
      <c r="U107" s="1052"/>
      <c r="V107" s="1052"/>
      <c r="W107" s="1052"/>
      <c r="X107" s="1052"/>
    </row>
    <row r="108" spans="1:24" ht="12" customHeight="1">
      <c r="A108" s="993" t="s">
        <v>154</v>
      </c>
      <c r="B108" s="1054">
        <v>68710596</v>
      </c>
      <c r="C108" s="1059"/>
      <c r="D108" s="1054">
        <v>1544289.3412000001</v>
      </c>
      <c r="E108" s="1059"/>
      <c r="F108" s="1054">
        <v>0</v>
      </c>
      <c r="G108" s="1062"/>
      <c r="H108" s="1054">
        <v>0</v>
      </c>
      <c r="I108" s="1062"/>
      <c r="J108" s="1054">
        <v>0</v>
      </c>
      <c r="K108" s="1062"/>
      <c r="L108" s="1054">
        <v>0</v>
      </c>
      <c r="M108" s="1062"/>
      <c r="N108" s="1054">
        <v>56829491</v>
      </c>
      <c r="O108" s="1059"/>
      <c r="P108" s="1054">
        <v>380757.58970000001</v>
      </c>
      <c r="Q108" s="1052"/>
      <c r="R108" s="1052"/>
      <c r="S108" s="1052"/>
      <c r="T108" s="1052"/>
      <c r="U108" s="1052"/>
      <c r="V108" s="1052"/>
      <c r="W108" s="1052"/>
      <c r="X108" s="1052"/>
    </row>
    <row r="109" spans="1:24" ht="8.25" customHeight="1">
      <c r="B109" s="1054"/>
      <c r="C109" s="1059"/>
      <c r="D109" s="1054"/>
      <c r="E109" s="1059"/>
      <c r="F109" s="1054"/>
      <c r="G109" s="1062"/>
      <c r="H109" s="1054"/>
      <c r="I109" s="1062"/>
      <c r="J109" s="1054"/>
      <c r="K109" s="1062"/>
      <c r="L109" s="1054"/>
      <c r="M109" s="1062"/>
      <c r="N109" s="1054"/>
      <c r="O109" s="1059"/>
      <c r="P109" s="1054"/>
      <c r="Q109" s="1065"/>
      <c r="R109" s="1065"/>
      <c r="S109" s="1065"/>
      <c r="T109" s="1065"/>
      <c r="U109" s="1065"/>
      <c r="V109" s="1065"/>
      <c r="W109" s="1065"/>
      <c r="X109" s="1065"/>
    </row>
    <row r="110" spans="1:24" ht="12" customHeight="1">
      <c r="A110" s="993" t="s">
        <v>156</v>
      </c>
      <c r="B110" s="1054">
        <v>71108170</v>
      </c>
      <c r="C110" s="1059"/>
      <c r="D110" s="1054">
        <v>2606093.1749999998</v>
      </c>
      <c r="E110" s="1059"/>
      <c r="F110" s="1054">
        <v>10771210</v>
      </c>
      <c r="G110" s="1059"/>
      <c r="H110" s="1054">
        <v>43084.84</v>
      </c>
      <c r="I110" s="1059"/>
      <c r="J110" s="1054">
        <v>1990350</v>
      </c>
      <c r="K110" s="1059"/>
      <c r="L110" s="1054">
        <v>69662.25</v>
      </c>
      <c r="M110" s="1059"/>
      <c r="N110" s="1054">
        <v>70649023</v>
      </c>
      <c r="O110" s="1059"/>
      <c r="P110" s="1054">
        <v>542004.7294999999</v>
      </c>
      <c r="Q110" s="1052"/>
      <c r="R110" s="1052"/>
      <c r="S110" s="1052"/>
      <c r="T110" s="1052"/>
      <c r="U110" s="1052"/>
      <c r="V110" s="1052"/>
      <c r="W110" s="1052"/>
      <c r="X110" s="1052"/>
    </row>
    <row r="111" spans="1:24">
      <c r="A111" s="993" t="s">
        <v>27</v>
      </c>
      <c r="B111" s="1054">
        <v>904456173</v>
      </c>
      <c r="C111" s="1054"/>
      <c r="D111" s="1054">
        <v>31594293.913999997</v>
      </c>
      <c r="E111" s="1054"/>
      <c r="F111" s="1054">
        <v>71744090</v>
      </c>
      <c r="G111" s="1054"/>
      <c r="H111" s="1054">
        <v>2044706.5649999999</v>
      </c>
      <c r="I111" s="1054"/>
      <c r="J111" s="1054">
        <v>0</v>
      </c>
      <c r="K111" s="1054"/>
      <c r="L111" s="1054">
        <v>0</v>
      </c>
      <c r="M111" s="1054"/>
      <c r="N111" s="1054">
        <v>329478800</v>
      </c>
      <c r="O111" s="1054"/>
      <c r="P111" s="1054">
        <v>3605949.0660000001</v>
      </c>
      <c r="Q111" s="1052"/>
      <c r="R111" s="1052"/>
      <c r="S111" s="1052"/>
      <c r="T111" s="1052"/>
      <c r="U111" s="1052"/>
      <c r="V111" s="1052"/>
      <c r="W111" s="1052"/>
      <c r="X111" s="1052"/>
    </row>
    <row r="112" spans="1:24" ht="12" customHeight="1">
      <c r="A112" s="993" t="s">
        <v>158</v>
      </c>
      <c r="B112" s="1054">
        <v>223002340</v>
      </c>
      <c r="C112" s="1054"/>
      <c r="D112" s="1054">
        <v>9242098.3925000001</v>
      </c>
      <c r="E112" s="1054"/>
      <c r="F112" s="1054">
        <v>20419513</v>
      </c>
      <c r="G112" s="1054"/>
      <c r="H112" s="1054">
        <v>520697.81</v>
      </c>
      <c r="I112" s="1054"/>
      <c r="J112" s="1054">
        <v>0</v>
      </c>
      <c r="K112" s="1054"/>
      <c r="L112" s="1054">
        <v>0</v>
      </c>
      <c r="M112" s="1054"/>
      <c r="N112" s="1054">
        <v>238322735</v>
      </c>
      <c r="O112" s="1054"/>
      <c r="P112" s="1054">
        <v>1739755.97</v>
      </c>
      <c r="Q112" s="1052"/>
      <c r="R112" s="1052"/>
      <c r="S112" s="1052"/>
      <c r="T112" s="1052"/>
      <c r="U112" s="1052"/>
      <c r="V112" s="1052"/>
      <c r="W112" s="1052"/>
      <c r="X112" s="1052"/>
    </row>
    <row r="113" spans="1:24" ht="12" customHeight="1">
      <c r="A113" s="993" t="s">
        <v>159</v>
      </c>
      <c r="B113" s="1054">
        <v>948738465</v>
      </c>
      <c r="C113" s="1054"/>
      <c r="D113" s="1054">
        <v>24604079</v>
      </c>
      <c r="E113" s="1054"/>
      <c r="F113" s="1054">
        <v>464210620</v>
      </c>
      <c r="G113" s="1054"/>
      <c r="H113" s="1054">
        <v>11837375</v>
      </c>
      <c r="I113" s="1054"/>
      <c r="J113" s="1054">
        <v>172119295</v>
      </c>
      <c r="K113" s="1054"/>
      <c r="L113" s="1054">
        <v>1497438</v>
      </c>
      <c r="M113" s="1054"/>
      <c r="N113" s="1054">
        <v>323213387</v>
      </c>
      <c r="O113" s="1054"/>
      <c r="P113" s="1054">
        <v>2421365</v>
      </c>
      <c r="Q113" s="1052"/>
      <c r="R113" s="1052"/>
      <c r="S113" s="1052"/>
      <c r="T113" s="1052"/>
      <c r="U113" s="1052"/>
      <c r="V113" s="1052"/>
      <c r="W113" s="1052"/>
      <c r="X113" s="1052"/>
    </row>
    <row r="114" spans="1:24" ht="12" customHeight="1">
      <c r="A114" s="997" t="s">
        <v>161</v>
      </c>
      <c r="B114" s="1054">
        <v>370909250</v>
      </c>
      <c r="C114" s="1059"/>
      <c r="D114" s="1054">
        <v>7028551.9100000001</v>
      </c>
      <c r="E114" s="1059"/>
      <c r="F114" s="1054">
        <v>59906364</v>
      </c>
      <c r="G114" s="1059"/>
      <c r="H114" s="1054">
        <v>1168177.51</v>
      </c>
      <c r="I114" s="1059"/>
      <c r="J114" s="1054">
        <v>7482353</v>
      </c>
      <c r="K114" s="1059"/>
      <c r="L114" s="1054">
        <v>48635.41</v>
      </c>
      <c r="M114" s="1059"/>
      <c r="N114" s="1054">
        <v>315748548</v>
      </c>
      <c r="O114" s="1059"/>
      <c r="P114" s="1054">
        <v>61335.210000000006</v>
      </c>
      <c r="Q114" s="1052"/>
      <c r="R114" s="1052"/>
      <c r="S114" s="1052"/>
      <c r="T114" s="1052"/>
      <c r="U114" s="1052"/>
      <c r="V114" s="1052"/>
      <c r="W114" s="1052"/>
      <c r="X114" s="1052"/>
    </row>
    <row r="115" spans="1:24" ht="8.25" customHeight="1"/>
    <row r="116" spans="1:24" ht="12" customHeight="1">
      <c r="A116" s="993" t="s">
        <v>163</v>
      </c>
      <c r="B116" s="1055">
        <v>163655044</v>
      </c>
      <c r="C116" s="1063"/>
      <c r="D116" s="1055">
        <v>2417586.27</v>
      </c>
      <c r="E116" s="1055"/>
      <c r="F116" s="1055">
        <v>19647961</v>
      </c>
      <c r="G116" s="1055"/>
      <c r="H116" s="1055">
        <v>176831.65</v>
      </c>
      <c r="I116" s="1055"/>
      <c r="J116" s="1055">
        <v>14682723</v>
      </c>
      <c r="K116" s="1064"/>
      <c r="L116" s="1055">
        <v>105715.65</v>
      </c>
      <c r="M116" s="1064"/>
      <c r="N116" s="1055">
        <v>122663996</v>
      </c>
      <c r="O116" s="1055"/>
      <c r="P116" s="1055">
        <v>985013.1</v>
      </c>
      <c r="Q116" s="1052"/>
      <c r="R116" s="1052"/>
      <c r="S116" s="1052"/>
      <c r="T116" s="1052"/>
      <c r="U116" s="1052"/>
      <c r="V116" s="1052"/>
      <c r="W116" s="1052"/>
      <c r="X116" s="1052"/>
    </row>
    <row r="117" spans="1:24" ht="12" customHeight="1">
      <c r="A117" s="993" t="s">
        <v>165</v>
      </c>
      <c r="B117" s="1054">
        <v>466828011</v>
      </c>
      <c r="C117" s="1054"/>
      <c r="D117" s="1054">
        <v>17557917.920000002</v>
      </c>
      <c r="E117" s="1054"/>
      <c r="F117" s="1054">
        <v>94669186</v>
      </c>
      <c r="G117" s="1054"/>
      <c r="H117" s="1054">
        <v>2982079.39</v>
      </c>
      <c r="I117" s="1054"/>
      <c r="J117" s="1054">
        <v>55000213</v>
      </c>
      <c r="K117" s="1054"/>
      <c r="L117" s="1054">
        <v>330001.28000000003</v>
      </c>
      <c r="M117" s="1054"/>
      <c r="N117" s="1054">
        <v>289209578</v>
      </c>
      <c r="O117" s="1054"/>
      <c r="P117" s="1054">
        <v>1874192.86</v>
      </c>
      <c r="Q117" s="1052"/>
      <c r="R117" s="1052"/>
      <c r="S117" s="1052"/>
      <c r="T117" s="1052"/>
      <c r="U117" s="1052"/>
      <c r="V117" s="1052"/>
      <c r="W117" s="1052"/>
      <c r="X117" s="1052"/>
    </row>
    <row r="118" spans="1:24" ht="12" customHeight="1">
      <c r="A118" s="993" t="s">
        <v>167</v>
      </c>
      <c r="B118" s="1054">
        <v>243743731</v>
      </c>
      <c r="C118" s="1054"/>
      <c r="D118" s="1054">
        <v>5469253.358</v>
      </c>
      <c r="E118" s="1054"/>
      <c r="F118" s="1054">
        <v>106787128</v>
      </c>
      <c r="G118" s="1054"/>
      <c r="H118" s="1054">
        <v>1655200.4840000002</v>
      </c>
      <c r="I118" s="1054"/>
      <c r="J118" s="1054">
        <v>67262010</v>
      </c>
      <c r="K118" s="1054"/>
      <c r="L118" s="1054">
        <v>269048.03999999998</v>
      </c>
      <c r="M118" s="1054"/>
      <c r="N118" s="1054">
        <v>178668947</v>
      </c>
      <c r="O118" s="1054"/>
      <c r="P118" s="1054">
        <v>1322150.2078</v>
      </c>
      <c r="Q118" s="1052"/>
      <c r="R118" s="1052"/>
      <c r="S118" s="1052"/>
      <c r="T118" s="1052"/>
      <c r="U118" s="1052"/>
      <c r="V118" s="1052"/>
      <c r="W118" s="1052"/>
      <c r="X118" s="1052"/>
    </row>
    <row r="119" spans="1:24" ht="12" customHeight="1">
      <c r="A119" s="993" t="s">
        <v>169</v>
      </c>
      <c r="B119" s="1054">
        <v>221497758</v>
      </c>
      <c r="C119" s="1054"/>
      <c r="D119" s="1054">
        <v>8241237.3500000006</v>
      </c>
      <c r="E119" s="1054"/>
      <c r="F119" s="1054">
        <v>56565200</v>
      </c>
      <c r="G119" s="1054"/>
      <c r="H119" s="1054">
        <v>1357564.8</v>
      </c>
      <c r="I119" s="1054"/>
      <c r="J119" s="1054">
        <v>15568139</v>
      </c>
      <c r="K119" s="1054"/>
      <c r="L119" s="1054">
        <v>77840.820000000007</v>
      </c>
      <c r="M119" s="1054"/>
      <c r="N119" s="1054">
        <v>237557724</v>
      </c>
      <c r="O119" s="1054"/>
      <c r="P119" s="1054">
        <v>2129514.77</v>
      </c>
      <c r="Q119" s="1052"/>
      <c r="R119" s="1052"/>
      <c r="S119" s="1052"/>
      <c r="T119" s="1052"/>
      <c r="U119" s="1052"/>
      <c r="V119" s="1052"/>
      <c r="W119" s="1052"/>
      <c r="X119" s="1052"/>
    </row>
    <row r="120" spans="1:24" ht="12" customHeight="1">
      <c r="A120" s="993" t="s">
        <v>171</v>
      </c>
      <c r="B120" s="1054">
        <v>1019721583.0700001</v>
      </c>
      <c r="C120" s="1059"/>
      <c r="D120" s="1054">
        <v>64348806.987750001</v>
      </c>
      <c r="E120" s="1059"/>
      <c r="F120" s="1054">
        <v>33710193.039999999</v>
      </c>
      <c r="G120" s="1059"/>
      <c r="H120" s="1054">
        <v>842754.826</v>
      </c>
      <c r="I120" s="1059"/>
      <c r="J120" s="1054">
        <v>0</v>
      </c>
      <c r="K120" s="1062"/>
      <c r="L120" s="1054">
        <v>0</v>
      </c>
      <c r="M120" s="1062"/>
      <c r="N120" s="1054">
        <v>413002803</v>
      </c>
      <c r="O120" s="1059"/>
      <c r="P120" s="1054">
        <v>3547974.0342200003</v>
      </c>
      <c r="Q120" s="1052"/>
      <c r="R120" s="1052"/>
      <c r="S120" s="1052"/>
      <c r="T120" s="1052"/>
      <c r="U120" s="1052"/>
      <c r="V120" s="1052"/>
      <c r="W120" s="1052"/>
      <c r="X120" s="1052"/>
    </row>
    <row r="121" spans="1:24" ht="8.25" customHeight="1">
      <c r="B121" s="1054"/>
      <c r="C121" s="1059"/>
      <c r="D121" s="1054"/>
      <c r="E121" s="1059"/>
      <c r="F121" s="1054"/>
      <c r="G121" s="1059"/>
      <c r="H121" s="1054"/>
      <c r="I121" s="1059"/>
      <c r="J121" s="1054"/>
      <c r="K121" s="1062"/>
      <c r="L121" s="1054"/>
      <c r="M121" s="1062"/>
      <c r="N121" s="1054"/>
      <c r="O121" s="1059"/>
      <c r="P121" s="1054"/>
      <c r="Q121" s="1065"/>
      <c r="R121" s="1065"/>
      <c r="S121" s="1065"/>
      <c r="T121" s="1065"/>
      <c r="U121" s="1065"/>
      <c r="V121" s="1065"/>
      <c r="W121" s="1065"/>
      <c r="X121" s="1065"/>
    </row>
    <row r="122" spans="1:24" ht="12" customHeight="1">
      <c r="A122" s="993" t="s">
        <v>173</v>
      </c>
      <c r="B122" s="1054">
        <v>1121990130</v>
      </c>
      <c r="C122" s="1054"/>
      <c r="D122" s="1054">
        <v>69724905.523999989</v>
      </c>
      <c r="E122" s="1054"/>
      <c r="F122" s="1054">
        <v>0</v>
      </c>
      <c r="G122" s="1054"/>
      <c r="H122" s="1054">
        <v>0</v>
      </c>
      <c r="I122" s="1054"/>
      <c r="J122" s="1054">
        <v>177064650</v>
      </c>
      <c r="K122" s="1054"/>
      <c r="L122" s="1054">
        <v>885323.25</v>
      </c>
      <c r="M122" s="1054"/>
      <c r="N122" s="1054">
        <v>575948</v>
      </c>
      <c r="O122" s="1054"/>
      <c r="P122" s="1054">
        <v>37206.2408</v>
      </c>
      <c r="Q122" s="1052"/>
      <c r="R122" s="1052"/>
      <c r="S122" s="1052"/>
      <c r="T122" s="1052"/>
      <c r="U122" s="1052"/>
      <c r="V122" s="1052"/>
      <c r="W122" s="1052"/>
      <c r="X122" s="1052"/>
    </row>
    <row r="123" spans="1:24" ht="12" customHeight="1">
      <c r="A123" s="993" t="s">
        <v>175</v>
      </c>
      <c r="B123" s="1054">
        <v>59679427</v>
      </c>
      <c r="C123" s="1059"/>
      <c r="D123" s="1054">
        <v>2266439.41</v>
      </c>
      <c r="E123" s="1059"/>
      <c r="F123" s="1054">
        <v>2813507</v>
      </c>
      <c r="G123" s="1059"/>
      <c r="H123" s="1054">
        <v>28135.07</v>
      </c>
      <c r="I123" s="1059"/>
      <c r="J123" s="1054">
        <v>0</v>
      </c>
      <c r="K123" s="1062"/>
      <c r="L123" s="1054">
        <v>0</v>
      </c>
      <c r="M123" s="1062"/>
      <c r="N123" s="1054">
        <v>1935274114</v>
      </c>
      <c r="O123" s="1059"/>
      <c r="P123" s="1054">
        <v>13757889.2301</v>
      </c>
      <c r="Q123" s="1052"/>
      <c r="R123" s="1052"/>
      <c r="S123" s="1052"/>
      <c r="T123" s="1052"/>
      <c r="U123" s="1052"/>
      <c r="V123" s="1052"/>
      <c r="W123" s="1052"/>
      <c r="X123" s="1052"/>
    </row>
    <row r="124" spans="1:24" ht="12" customHeight="1">
      <c r="A124" s="993" t="s">
        <v>177</v>
      </c>
      <c r="B124" s="1054">
        <v>79995247</v>
      </c>
      <c r="C124" s="1054"/>
      <c r="D124" s="1054">
        <v>3757881.19</v>
      </c>
      <c r="E124" s="1054"/>
      <c r="F124" s="1054">
        <v>45584746</v>
      </c>
      <c r="G124" s="1054"/>
      <c r="H124" s="1054">
        <v>1107709.33</v>
      </c>
      <c r="I124" s="1054"/>
      <c r="J124" s="1054">
        <v>7200430</v>
      </c>
      <c r="K124" s="1054"/>
      <c r="L124" s="1054">
        <v>72004.3</v>
      </c>
      <c r="M124" s="1054"/>
      <c r="N124" s="1054">
        <v>123954511</v>
      </c>
      <c r="O124" s="1054"/>
      <c r="P124" s="1054">
        <v>766478.72</v>
      </c>
      <c r="Q124" s="1052"/>
      <c r="R124" s="1052"/>
      <c r="S124" s="1052"/>
      <c r="T124" s="1052"/>
      <c r="U124" s="1052"/>
      <c r="V124" s="1052"/>
      <c r="W124" s="1052"/>
      <c r="X124" s="1052"/>
    </row>
    <row r="125" spans="1:24" ht="12" customHeight="1">
      <c r="A125" s="993" t="s">
        <v>179</v>
      </c>
      <c r="B125" s="1054">
        <v>437842645</v>
      </c>
      <c r="C125" s="1059"/>
      <c r="D125" s="1054">
        <v>8333650.2199999997</v>
      </c>
      <c r="E125" s="1059"/>
      <c r="F125" s="1054">
        <v>59864000</v>
      </c>
      <c r="G125" s="1059"/>
      <c r="H125" s="1054">
        <v>1197280</v>
      </c>
      <c r="I125" s="1059"/>
      <c r="J125" s="1054">
        <v>21279980</v>
      </c>
      <c r="K125" s="1059"/>
      <c r="L125" s="1054">
        <v>808639.24</v>
      </c>
      <c r="M125" s="1059"/>
      <c r="N125" s="1054">
        <v>265251375</v>
      </c>
      <c r="O125" s="1059"/>
      <c r="P125" s="1054">
        <v>1541631.56</v>
      </c>
      <c r="Q125" s="1052"/>
      <c r="R125" s="1052"/>
      <c r="S125" s="1052"/>
      <c r="T125" s="1052"/>
      <c r="U125" s="1052"/>
      <c r="V125" s="1052"/>
      <c r="W125" s="1052"/>
      <c r="X125" s="1052"/>
    </row>
    <row r="126" spans="1:24" ht="12" customHeight="1">
      <c r="A126" s="993" t="s">
        <v>181</v>
      </c>
      <c r="B126" s="1054">
        <v>552798635</v>
      </c>
      <c r="C126" s="1059"/>
      <c r="D126" s="1054">
        <v>1982814.0924250002</v>
      </c>
      <c r="E126" s="1059"/>
      <c r="F126" s="1054">
        <v>114040895</v>
      </c>
      <c r="G126" s="1059"/>
      <c r="H126" s="1054">
        <v>23378.383475000002</v>
      </c>
      <c r="I126" s="1059"/>
      <c r="J126" s="1054">
        <v>0</v>
      </c>
      <c r="K126" s="1059"/>
      <c r="L126" s="1054">
        <v>0</v>
      </c>
      <c r="M126" s="1059"/>
      <c r="N126" s="1054">
        <v>1053854970</v>
      </c>
      <c r="O126" s="1059"/>
      <c r="P126" s="1054">
        <v>64096.003200000006</v>
      </c>
      <c r="Q126" s="1052"/>
      <c r="R126" s="1052"/>
      <c r="S126" s="1052"/>
      <c r="T126" s="1052"/>
      <c r="U126" s="1052"/>
      <c r="V126" s="1052"/>
      <c r="W126" s="1052"/>
      <c r="X126" s="1052"/>
    </row>
    <row r="127" spans="1:24" ht="15">
      <c r="A127" s="1039" t="s">
        <v>1096</v>
      </c>
      <c r="B127" s="1040"/>
      <c r="C127" s="1006"/>
      <c r="D127" s="1040"/>
      <c r="E127" s="1006"/>
      <c r="F127" s="1040"/>
      <c r="G127" s="1006"/>
      <c r="H127" s="1040"/>
      <c r="I127" s="1006"/>
      <c r="J127" s="1040"/>
      <c r="K127" s="1006"/>
      <c r="L127" s="1040"/>
      <c r="M127" s="1006"/>
      <c r="N127" s="1040"/>
      <c r="O127" s="1006"/>
      <c r="P127" s="1040"/>
      <c r="Q127" s="1010"/>
      <c r="R127" s="1010"/>
      <c r="S127" s="1010"/>
      <c r="T127" s="1010"/>
      <c r="U127" s="1010"/>
      <c r="V127" s="1010"/>
      <c r="W127" s="1010"/>
      <c r="X127" s="1010"/>
    </row>
    <row r="128" spans="1:24" s="1020" customFormat="1" ht="12.75">
      <c r="A128" s="1041" t="s">
        <v>1089</v>
      </c>
      <c r="B128" s="1041"/>
      <c r="C128" s="1041"/>
      <c r="D128" s="1041"/>
      <c r="E128" s="1041"/>
      <c r="F128" s="1041"/>
      <c r="G128" s="1041"/>
      <c r="H128" s="1041"/>
      <c r="I128" s="1041"/>
      <c r="J128" s="1041"/>
      <c r="K128" s="1041"/>
      <c r="L128" s="1041"/>
      <c r="M128" s="1041"/>
      <c r="N128" s="1041"/>
      <c r="O128" s="1041"/>
      <c r="P128" s="1041"/>
      <c r="Q128" s="1066"/>
      <c r="R128" s="1066"/>
      <c r="S128" s="1066"/>
      <c r="T128" s="1066"/>
      <c r="U128" s="1066"/>
      <c r="V128" s="1066"/>
      <c r="W128" s="1066"/>
      <c r="X128" s="1066"/>
    </row>
    <row r="129" spans="1:24" s="1020" customFormat="1" ht="12.75">
      <c r="A129" s="1217" t="str">
        <f>A87</f>
        <v>Assessed Values and Levies by Locality - Tax Year 2019</v>
      </c>
      <c r="B129" s="1217"/>
      <c r="C129" s="1217"/>
      <c r="D129" s="1217"/>
      <c r="E129" s="1217"/>
      <c r="F129" s="1217"/>
      <c r="G129" s="1217"/>
      <c r="H129" s="1217"/>
      <c r="I129" s="1217"/>
      <c r="J129" s="1217"/>
      <c r="K129" s="1217"/>
      <c r="L129" s="1217"/>
      <c r="M129" s="1217"/>
      <c r="N129" s="1217"/>
      <c r="O129" s="1217"/>
      <c r="P129" s="1217"/>
      <c r="Q129" s="1067"/>
      <c r="R129" s="1067"/>
      <c r="S129" s="1067"/>
      <c r="T129" s="1067"/>
      <c r="U129" s="1067"/>
      <c r="V129" s="1067"/>
      <c r="W129" s="1067"/>
      <c r="X129" s="1067"/>
    </row>
    <row r="130" spans="1:24" ht="11.25" customHeight="1" thickBot="1">
      <c r="A130" s="1007"/>
      <c r="B130" s="1007"/>
      <c r="C130" s="1007"/>
      <c r="D130" s="1007"/>
      <c r="E130" s="1007"/>
      <c r="F130" s="1007"/>
      <c r="G130" s="1007"/>
      <c r="H130" s="1007"/>
      <c r="I130" s="1007"/>
      <c r="J130" s="1007"/>
      <c r="K130" s="1007"/>
      <c r="L130" s="1007"/>
      <c r="M130" s="1007"/>
      <c r="N130" s="1007"/>
      <c r="O130" s="1007"/>
      <c r="P130" s="1007"/>
      <c r="Q130" s="1044"/>
      <c r="R130" s="1044"/>
      <c r="S130" s="1044"/>
      <c r="T130" s="1044"/>
      <c r="U130" s="1044"/>
      <c r="V130" s="1044"/>
      <c r="W130" s="1044"/>
      <c r="X130" s="1044"/>
    </row>
    <row r="131" spans="1:24" ht="14.25" customHeight="1">
      <c r="A131" s="1006"/>
      <c r="B131" s="1400" t="s">
        <v>1090</v>
      </c>
      <c r="C131" s="1400"/>
      <c r="D131" s="1400"/>
      <c r="E131" s="1006"/>
      <c r="F131" s="1400" t="s">
        <v>1091</v>
      </c>
      <c r="G131" s="1400"/>
      <c r="H131" s="1400"/>
      <c r="I131" s="1006"/>
      <c r="J131" s="1400" t="s">
        <v>1092</v>
      </c>
      <c r="K131" s="1400"/>
      <c r="L131" s="1400"/>
      <c r="M131" s="1006"/>
      <c r="N131" s="1400" t="s">
        <v>1093</v>
      </c>
      <c r="O131" s="1400"/>
      <c r="P131" s="1400"/>
      <c r="Q131" s="1045"/>
      <c r="R131" s="1045"/>
      <c r="S131" s="1045"/>
      <c r="T131" s="1045"/>
      <c r="U131" s="1045"/>
      <c r="V131" s="1045"/>
      <c r="W131" s="1045"/>
      <c r="X131" s="1045"/>
    </row>
    <row r="132" spans="1:24" ht="12" customHeight="1">
      <c r="A132" s="1046" t="s">
        <v>23</v>
      </c>
      <c r="B132" s="1047" t="s">
        <v>1094</v>
      </c>
      <c r="C132" s="1016"/>
      <c r="D132" s="1047" t="s">
        <v>1095</v>
      </c>
      <c r="E132" s="1016"/>
      <c r="F132" s="1047" t="s">
        <v>1094</v>
      </c>
      <c r="G132" s="1016"/>
      <c r="H132" s="1047" t="s">
        <v>1095</v>
      </c>
      <c r="I132" s="1016"/>
      <c r="J132" s="1047" t="s">
        <v>1094</v>
      </c>
      <c r="K132" s="1016"/>
      <c r="L132" s="1047" t="s">
        <v>1095</v>
      </c>
      <c r="M132" s="1016"/>
      <c r="N132" s="1047" t="s">
        <v>1094</v>
      </c>
      <c r="O132" s="1016"/>
      <c r="P132" s="1047" t="s">
        <v>1095</v>
      </c>
      <c r="Q132" s="1048"/>
      <c r="R132" s="1048"/>
      <c r="S132" s="1048"/>
      <c r="T132" s="1048"/>
      <c r="U132" s="1048"/>
      <c r="V132" s="1048"/>
      <c r="W132" s="1048"/>
      <c r="X132" s="1048"/>
    </row>
    <row r="133" spans="1:24" ht="8.25" customHeight="1">
      <c r="B133" s="1054"/>
      <c r="C133" s="1056"/>
      <c r="D133" s="1054"/>
      <c r="E133" s="1056"/>
      <c r="F133" s="1054"/>
      <c r="G133" s="1056"/>
      <c r="H133" s="1054"/>
      <c r="I133" s="1056"/>
      <c r="J133" s="1054"/>
      <c r="K133" s="1056"/>
      <c r="L133" s="1054"/>
      <c r="M133" s="1056"/>
      <c r="N133" s="1054"/>
      <c r="O133" s="1056"/>
      <c r="P133" s="1054"/>
      <c r="Q133" s="1065"/>
      <c r="R133" s="1065"/>
      <c r="S133" s="1065"/>
      <c r="T133" s="1065"/>
      <c r="U133" s="1065"/>
      <c r="V133" s="1065"/>
      <c r="W133" s="1065"/>
      <c r="X133" s="1065"/>
    </row>
    <row r="134" spans="1:24" ht="12" customHeight="1">
      <c r="A134" s="993" t="s">
        <v>183</v>
      </c>
      <c r="B134" s="1049">
        <v>631505920</v>
      </c>
      <c r="C134" s="1050"/>
      <c r="D134" s="1049">
        <v>10457857</v>
      </c>
      <c r="E134" s="1050"/>
      <c r="F134" s="1049">
        <v>189781360</v>
      </c>
      <c r="G134" s="1050"/>
      <c r="H134" s="1049">
        <v>2941611</v>
      </c>
      <c r="I134" s="1050"/>
      <c r="J134" s="1049">
        <v>0</v>
      </c>
      <c r="K134" s="1050"/>
      <c r="L134" s="1049">
        <v>0</v>
      </c>
      <c r="M134" s="1050"/>
      <c r="N134" s="1049">
        <v>260577420</v>
      </c>
      <c r="O134" s="1050"/>
      <c r="P134" s="1051">
        <v>1652602.1400000001</v>
      </c>
      <c r="Q134" s="1052"/>
      <c r="R134" s="1052"/>
      <c r="S134" s="1052"/>
      <c r="T134" s="1052"/>
      <c r="U134" s="1052"/>
      <c r="V134" s="1052"/>
      <c r="W134" s="1052"/>
      <c r="X134" s="1052"/>
    </row>
    <row r="135" spans="1:24" ht="12" customHeight="1">
      <c r="A135" s="993" t="s">
        <v>185</v>
      </c>
      <c r="B135" s="1054">
        <v>190592630</v>
      </c>
      <c r="C135" s="1059"/>
      <c r="D135" s="1054">
        <v>5581420.2700000005</v>
      </c>
      <c r="E135" s="1059"/>
      <c r="F135" s="1054">
        <v>5879860</v>
      </c>
      <c r="G135" s="1059"/>
      <c r="H135" s="1054">
        <v>88197.9</v>
      </c>
      <c r="I135" s="1059"/>
      <c r="J135" s="1054">
        <v>12182200</v>
      </c>
      <c r="K135" s="1059"/>
      <c r="L135" s="1054">
        <v>49904</v>
      </c>
      <c r="M135" s="1059"/>
      <c r="N135" s="1054">
        <v>71939940</v>
      </c>
      <c r="O135" s="1059"/>
      <c r="P135" s="1054">
        <v>482590.01</v>
      </c>
      <c r="Q135" s="1052"/>
      <c r="R135" s="1052"/>
      <c r="S135" s="1052"/>
      <c r="T135" s="1052"/>
      <c r="U135" s="1052"/>
      <c r="V135" s="1052"/>
      <c r="W135" s="1052"/>
      <c r="X135" s="1052"/>
    </row>
    <row r="136" spans="1:24" ht="12" customHeight="1">
      <c r="A136" s="993" t="s">
        <v>187</v>
      </c>
      <c r="B136" s="1054">
        <v>428230181</v>
      </c>
      <c r="C136" s="1059"/>
      <c r="D136" s="1054">
        <v>6786466.0800000001</v>
      </c>
      <c r="E136" s="1059"/>
      <c r="F136" s="1054">
        <v>42253130</v>
      </c>
      <c r="G136" s="1059"/>
      <c r="H136" s="1054">
        <v>595769.13</v>
      </c>
      <c r="I136" s="1059"/>
      <c r="J136" s="1054">
        <v>29090089</v>
      </c>
      <c r="K136" s="1059"/>
      <c r="L136" s="1054">
        <v>829067.54</v>
      </c>
      <c r="M136" s="1059"/>
      <c r="N136" s="1054">
        <v>1371641421</v>
      </c>
      <c r="O136" s="1059"/>
      <c r="P136" s="1054">
        <v>9464915.6899999995</v>
      </c>
      <c r="Q136" s="1052"/>
      <c r="R136" s="1052"/>
      <c r="S136" s="1052"/>
      <c r="T136" s="1052"/>
      <c r="U136" s="1052"/>
      <c r="V136" s="1052"/>
      <c r="W136" s="1052"/>
      <c r="X136" s="1052"/>
    </row>
    <row r="137" spans="1:24" ht="12" customHeight="1">
      <c r="A137" s="993" t="s">
        <v>189</v>
      </c>
      <c r="B137" s="1054">
        <v>294539841</v>
      </c>
      <c r="C137" s="1059"/>
      <c r="D137" s="1054">
        <v>6589405.5700000003</v>
      </c>
      <c r="E137" s="1059"/>
      <c r="F137" s="1054">
        <v>149392120</v>
      </c>
      <c r="G137" s="1059"/>
      <c r="H137" s="1054">
        <v>2240881.7999999998</v>
      </c>
      <c r="I137" s="1059"/>
      <c r="J137" s="1054">
        <v>67368180</v>
      </c>
      <c r="K137" s="1059"/>
      <c r="L137" s="1054">
        <v>377261.81</v>
      </c>
      <c r="M137" s="1059"/>
      <c r="N137" s="1054">
        <v>359338718</v>
      </c>
      <c r="O137" s="1059"/>
      <c r="P137" s="1054">
        <v>1947367.7400000002</v>
      </c>
      <c r="Q137" s="1052"/>
      <c r="R137" s="1052"/>
      <c r="S137" s="1052"/>
      <c r="T137" s="1052"/>
      <c r="U137" s="1052"/>
      <c r="V137" s="1052"/>
      <c r="W137" s="1052"/>
      <c r="X137" s="1052"/>
    </row>
    <row r="138" spans="1:24" ht="12" customHeight="1">
      <c r="A138" s="993" t="s">
        <v>191</v>
      </c>
      <c r="B138" s="1054">
        <v>774273745</v>
      </c>
      <c r="C138" s="1059"/>
      <c r="D138" s="1054">
        <v>26462135.650000002</v>
      </c>
      <c r="E138" s="1059"/>
      <c r="F138" s="1054">
        <v>3712245</v>
      </c>
      <c r="G138" s="1059"/>
      <c r="H138" s="1054">
        <v>148489.79999999999</v>
      </c>
      <c r="I138" s="1059"/>
      <c r="J138" s="1054">
        <v>0</v>
      </c>
      <c r="K138" s="1062"/>
      <c r="L138" s="1054">
        <v>0</v>
      </c>
      <c r="M138" s="1062"/>
      <c r="N138" s="1054">
        <v>443273184</v>
      </c>
      <c r="O138" s="1059"/>
      <c r="P138" s="1054">
        <v>3525286.35</v>
      </c>
      <c r="Q138" s="1052"/>
      <c r="R138" s="1052"/>
      <c r="S138" s="1052"/>
      <c r="T138" s="1052"/>
      <c r="U138" s="1052"/>
      <c r="V138" s="1052"/>
      <c r="W138" s="1052"/>
      <c r="X138" s="1052"/>
    </row>
    <row r="139" spans="1:24" ht="12" customHeight="1"/>
    <row r="140" spans="1:24" ht="12.75" customHeight="1">
      <c r="A140" s="1027" t="s">
        <v>24</v>
      </c>
      <c r="B140" s="1027">
        <f>SUM(B8:B60,B62:B114,B116:B138)</f>
        <v>76347804669.240005</v>
      </c>
      <c r="C140" s="1027"/>
      <c r="D140" s="1027">
        <f>SUM(D8:D60,D62:D114,D116:D138)</f>
        <v>2714246287.5698733</v>
      </c>
      <c r="E140" s="1027"/>
      <c r="F140" s="1027">
        <f>SUM(F8:F60,F62:F114,F116:F138)</f>
        <v>7519458050.54</v>
      </c>
      <c r="G140" s="1027"/>
      <c r="H140" s="1027">
        <f>SUM(H8:H60,H62:H114,H116:H138)</f>
        <v>137184477.84852505</v>
      </c>
      <c r="I140" s="1027"/>
      <c r="J140" s="1027">
        <f>SUM(J8:J60,J62:J114,J116:J138)</f>
        <v>1344289010.71</v>
      </c>
      <c r="K140" s="1027"/>
      <c r="L140" s="1027">
        <f>SUM(L8:L60,L62:L114,L116:L138)</f>
        <v>14010085.905490002</v>
      </c>
      <c r="M140" s="1027"/>
      <c r="N140" s="1027">
        <f>SUM(N8:N60,N62:N114,N116:N138)</f>
        <v>39525519269.5</v>
      </c>
      <c r="O140" s="1027"/>
      <c r="P140" s="1027">
        <f>SUM(P8:P60,P62:P114,P116:P138)</f>
        <v>308631758.55084604</v>
      </c>
      <c r="Q140" s="1068"/>
      <c r="R140" s="1068"/>
      <c r="S140" s="1068"/>
      <c r="T140" s="1068"/>
      <c r="U140" s="1068"/>
      <c r="V140" s="1068"/>
      <c r="W140" s="1068"/>
      <c r="X140" s="1068"/>
    </row>
    <row r="141" spans="1:24" ht="12" customHeight="1">
      <c r="A141" s="1008"/>
      <c r="B141" s="1008"/>
      <c r="C141" s="1008"/>
      <c r="D141" s="1008"/>
      <c r="E141" s="1008"/>
      <c r="F141" s="1008"/>
      <c r="G141" s="1008"/>
      <c r="H141" s="1008"/>
      <c r="I141" s="1008"/>
      <c r="J141" s="1008"/>
      <c r="K141" s="1008"/>
      <c r="L141" s="1008"/>
      <c r="M141" s="1008"/>
      <c r="N141" s="1008"/>
      <c r="O141" s="1008"/>
      <c r="P141" s="1008"/>
      <c r="Q141" s="1068"/>
      <c r="R141" s="1068"/>
      <c r="S141" s="1068"/>
      <c r="T141" s="1068"/>
      <c r="U141" s="1068"/>
      <c r="V141" s="1068"/>
      <c r="W141" s="1068"/>
      <c r="X141" s="1068"/>
    </row>
    <row r="142" spans="1:24" ht="12.75" customHeight="1" thickBot="1">
      <c r="A142" s="1032"/>
      <c r="B142" s="1069"/>
      <c r="C142" s="1069"/>
      <c r="D142" s="1069"/>
      <c r="E142" s="1069"/>
      <c r="F142" s="1069"/>
      <c r="G142" s="1069"/>
      <c r="H142" s="1069"/>
      <c r="I142" s="1069"/>
      <c r="J142" s="1069"/>
      <c r="K142" s="1069"/>
      <c r="L142" s="1069"/>
      <c r="M142" s="1069"/>
      <c r="N142" s="1069"/>
      <c r="O142" s="1069"/>
      <c r="P142" s="1069"/>
      <c r="Q142" s="1069"/>
      <c r="R142" s="1070"/>
      <c r="S142" s="1070"/>
      <c r="T142" s="1070"/>
      <c r="U142" s="1070"/>
      <c r="V142" s="1070"/>
      <c r="W142" s="1070"/>
      <c r="X142" s="1070"/>
    </row>
    <row r="143" spans="1:24" ht="14.25" customHeight="1">
      <c r="A143" s="1006"/>
      <c r="B143" s="1400" t="s">
        <v>1090</v>
      </c>
      <c r="C143" s="1400"/>
      <c r="D143" s="1400"/>
      <c r="E143" s="1006"/>
      <c r="F143" s="1400" t="s">
        <v>1091</v>
      </c>
      <c r="G143" s="1400"/>
      <c r="H143" s="1400"/>
      <c r="I143" s="1006"/>
      <c r="J143" s="1400" t="s">
        <v>1092</v>
      </c>
      <c r="K143" s="1400"/>
      <c r="L143" s="1400"/>
      <c r="M143" s="1006"/>
      <c r="N143" s="1400" t="s">
        <v>1093</v>
      </c>
      <c r="O143" s="1400"/>
      <c r="P143" s="1400"/>
      <c r="Q143" s="1045"/>
      <c r="R143" s="1045"/>
      <c r="S143" s="1045"/>
      <c r="T143" s="1045"/>
      <c r="U143" s="1045"/>
      <c r="V143" s="1045"/>
      <c r="W143" s="1045"/>
      <c r="X143" s="1045"/>
    </row>
    <row r="144" spans="1:24" ht="12" customHeight="1">
      <c r="A144" s="1046" t="s">
        <v>25</v>
      </c>
      <c r="B144" s="1047" t="s">
        <v>1094</v>
      </c>
      <c r="C144" s="1016"/>
      <c r="D144" s="1047" t="s">
        <v>1095</v>
      </c>
      <c r="E144" s="1016"/>
      <c r="F144" s="1047" t="s">
        <v>1094</v>
      </c>
      <c r="G144" s="1016"/>
      <c r="H144" s="1047" t="s">
        <v>1095</v>
      </c>
      <c r="I144" s="1016"/>
      <c r="J144" s="1047" t="s">
        <v>1094</v>
      </c>
      <c r="K144" s="1016"/>
      <c r="L144" s="1047" t="s">
        <v>1095</v>
      </c>
      <c r="M144" s="1016"/>
      <c r="N144" s="1047" t="s">
        <v>1094</v>
      </c>
      <c r="O144" s="1016"/>
      <c r="P144" s="1047" t="s">
        <v>1095</v>
      </c>
      <c r="Q144" s="1048"/>
      <c r="R144" s="1048"/>
      <c r="S144" s="1048"/>
      <c r="T144" s="1048"/>
      <c r="U144" s="1048"/>
      <c r="V144" s="1048"/>
      <c r="W144" s="1048"/>
      <c r="X144" s="1048"/>
    </row>
    <row r="145" spans="1:24" ht="8.25" customHeight="1"/>
    <row r="146" spans="1:24" ht="12" customHeight="1">
      <c r="A146" s="993" t="s">
        <v>1187</v>
      </c>
      <c r="B146" s="1248">
        <v>1779120378.3199999</v>
      </c>
      <c r="C146" s="1059"/>
      <c r="D146" s="1049">
        <v>74296234.260000005</v>
      </c>
      <c r="E146" s="1053"/>
      <c r="F146" s="1248">
        <v>9818870</v>
      </c>
      <c r="G146" s="1049"/>
      <c r="H146" s="1248">
        <v>441849.15</v>
      </c>
      <c r="I146" s="1049"/>
      <c r="J146" s="1248">
        <v>0</v>
      </c>
      <c r="K146" s="1049"/>
      <c r="L146" s="1248">
        <v>0</v>
      </c>
      <c r="M146" s="1049"/>
      <c r="N146" s="1248">
        <v>642118336</v>
      </c>
      <c r="O146" s="1049"/>
      <c r="P146" s="1051">
        <v>7287088.4134999998</v>
      </c>
      <c r="Q146" s="1052"/>
      <c r="R146" s="1052"/>
      <c r="S146" s="1052"/>
      <c r="T146" s="1052"/>
      <c r="U146" s="1052"/>
      <c r="V146" s="1052"/>
      <c r="W146" s="1052"/>
      <c r="X146" s="1052"/>
    </row>
    <row r="147" spans="1:24" ht="12" customHeight="1">
      <c r="A147" s="993" t="s">
        <v>198</v>
      </c>
      <c r="B147" s="1053">
        <v>119452573</v>
      </c>
      <c r="C147" s="1059"/>
      <c r="D147" s="1053">
        <v>2854814.3104000003</v>
      </c>
      <c r="E147" s="1059"/>
      <c r="F147" s="1053">
        <v>9880160</v>
      </c>
      <c r="G147" s="1059"/>
      <c r="H147" s="1053">
        <v>691611.2</v>
      </c>
      <c r="I147" s="1059"/>
      <c r="J147" s="1057">
        <v>0</v>
      </c>
      <c r="K147" s="1062"/>
      <c r="L147" s="1062">
        <v>0</v>
      </c>
      <c r="M147" s="1062"/>
      <c r="N147" s="1053">
        <v>22739173</v>
      </c>
      <c r="O147" s="1059"/>
      <c r="P147" s="1055">
        <v>266048.32410000003</v>
      </c>
      <c r="Q147" s="1052"/>
      <c r="R147" s="1052"/>
      <c r="S147" s="1052"/>
      <c r="T147" s="1052"/>
      <c r="U147" s="1052"/>
      <c r="V147" s="1052"/>
      <c r="W147" s="1052"/>
      <c r="X147" s="1052"/>
    </row>
    <row r="148" spans="1:24" ht="12" customHeight="1">
      <c r="A148" s="993" t="s">
        <v>200</v>
      </c>
      <c r="B148" s="1053">
        <v>35983511</v>
      </c>
      <c r="C148" s="1054"/>
      <c r="D148" s="1053">
        <v>2075807.2000000002</v>
      </c>
      <c r="E148" s="1054"/>
      <c r="F148" s="1053">
        <v>7747000</v>
      </c>
      <c r="G148" s="1054"/>
      <c r="H148" s="1053">
        <v>329247.5</v>
      </c>
      <c r="I148" s="1054"/>
      <c r="J148" s="1057">
        <v>0</v>
      </c>
      <c r="K148" s="1062"/>
      <c r="L148" s="1062">
        <v>0</v>
      </c>
      <c r="M148" s="1062"/>
      <c r="N148" s="1053">
        <v>283769.03999999998</v>
      </c>
      <c r="O148" s="1059"/>
      <c r="P148" s="1055">
        <v>4274.6000000000004</v>
      </c>
      <c r="Q148" s="1052"/>
      <c r="R148" s="1052"/>
      <c r="S148" s="1052"/>
      <c r="T148" s="1052"/>
      <c r="U148" s="1052"/>
      <c r="V148" s="1052"/>
      <c r="W148" s="1052"/>
      <c r="X148" s="1052"/>
    </row>
    <row r="149" spans="1:24" ht="12" customHeight="1">
      <c r="A149" s="993" t="s">
        <v>202</v>
      </c>
      <c r="B149" s="1053">
        <v>382105057</v>
      </c>
      <c r="C149" s="1059"/>
      <c r="D149" s="1053">
        <v>12716115.259999998</v>
      </c>
      <c r="E149" s="1059"/>
      <c r="F149" s="1053">
        <v>7827125</v>
      </c>
      <c r="G149" s="1054"/>
      <c r="H149" s="1053">
        <v>328739.34000000003</v>
      </c>
      <c r="I149" s="1054"/>
      <c r="J149" s="1057">
        <v>0</v>
      </c>
      <c r="K149" s="1062"/>
      <c r="L149" s="1062">
        <v>0</v>
      </c>
      <c r="M149" s="1062"/>
      <c r="N149" s="1053">
        <v>152810590</v>
      </c>
      <c r="O149" s="1059"/>
      <c r="P149" s="1055">
        <v>1459388.75</v>
      </c>
      <c r="Q149" s="1052"/>
      <c r="R149" s="1052"/>
      <c r="S149" s="1052"/>
      <c r="T149" s="1052"/>
      <c r="U149" s="1052"/>
      <c r="V149" s="1052"/>
      <c r="W149" s="1052"/>
      <c r="X149" s="1052"/>
    </row>
    <row r="150" spans="1:24" ht="12" customHeight="1">
      <c r="A150" s="993" t="s">
        <v>147</v>
      </c>
      <c r="B150" s="1053">
        <v>2349824115</v>
      </c>
      <c r="C150" s="1059"/>
      <c r="D150" s="1053">
        <v>92416537.395799994</v>
      </c>
      <c r="E150" s="1059"/>
      <c r="F150" s="1053">
        <v>94642761</v>
      </c>
      <c r="G150" s="1054"/>
      <c r="H150" s="1053">
        <v>3028568.352</v>
      </c>
      <c r="I150" s="1054"/>
      <c r="J150" s="1057">
        <v>0</v>
      </c>
      <c r="K150" s="1062"/>
      <c r="L150" s="1062">
        <v>0</v>
      </c>
      <c r="M150" s="1062"/>
      <c r="N150" s="1053">
        <v>1034682340</v>
      </c>
      <c r="O150" s="1059"/>
      <c r="P150" s="1055">
        <v>10875151.834799999</v>
      </c>
      <c r="Q150" s="1052"/>
      <c r="R150" s="1052"/>
      <c r="S150" s="1052"/>
      <c r="T150" s="1052"/>
      <c r="U150" s="1052"/>
      <c r="V150" s="1052"/>
      <c r="W150" s="1052"/>
      <c r="X150" s="1052"/>
    </row>
    <row r="151" spans="1:24" ht="8.25" customHeight="1">
      <c r="B151" s="1053"/>
      <c r="C151" s="1059"/>
      <c r="D151" s="1053"/>
      <c r="E151" s="1059"/>
      <c r="F151" s="1053"/>
      <c r="G151" s="1054"/>
      <c r="H151" s="1053"/>
      <c r="I151" s="1054"/>
      <c r="J151" s="1057"/>
      <c r="K151" s="1062"/>
      <c r="L151" s="1062"/>
      <c r="M151" s="1062"/>
      <c r="N151" s="1053"/>
      <c r="O151" s="1059"/>
      <c r="P151" s="1055"/>
      <c r="Q151" s="1052"/>
      <c r="R151" s="1052"/>
      <c r="S151" s="1052"/>
      <c r="T151" s="1052"/>
      <c r="U151" s="1052"/>
      <c r="V151" s="1052"/>
      <c r="W151" s="1052"/>
      <c r="X151" s="1052"/>
    </row>
    <row r="152" spans="1:24" ht="12" customHeight="1">
      <c r="A152" s="993" t="s">
        <v>149</v>
      </c>
      <c r="B152" s="1053">
        <v>145966747</v>
      </c>
      <c r="C152" s="1062"/>
      <c r="D152" s="1053">
        <v>5108836.1449999996</v>
      </c>
      <c r="E152" s="1057"/>
      <c r="F152" s="1053">
        <v>5581577</v>
      </c>
      <c r="G152" s="1054"/>
      <c r="H152" s="1053">
        <v>111631.54</v>
      </c>
      <c r="I152" s="1054"/>
      <c r="J152" s="1057">
        <v>0</v>
      </c>
      <c r="K152" s="1062"/>
      <c r="L152" s="1062">
        <v>0</v>
      </c>
      <c r="M152" s="1062"/>
      <c r="N152" s="1053">
        <v>37751450</v>
      </c>
      <c r="O152" s="1057"/>
      <c r="P152" s="1055">
        <v>453017.4</v>
      </c>
      <c r="Q152" s="1052"/>
      <c r="R152" s="1052"/>
      <c r="S152" s="1052"/>
      <c r="T152" s="1052"/>
      <c r="U152" s="1052"/>
      <c r="V152" s="1052"/>
      <c r="W152" s="1052"/>
      <c r="X152" s="1052"/>
    </row>
    <row r="153" spans="1:24" ht="12" customHeight="1">
      <c r="A153" s="993" t="s">
        <v>151</v>
      </c>
      <c r="B153" s="1053">
        <v>54855375</v>
      </c>
      <c r="C153" s="1059"/>
      <c r="D153" s="1053">
        <v>1668330.6059999999</v>
      </c>
      <c r="E153" s="1053"/>
      <c r="F153" s="1053">
        <v>124657590</v>
      </c>
      <c r="G153" s="1054"/>
      <c r="H153" s="1053">
        <v>3440549.4839999997</v>
      </c>
      <c r="I153" s="1054"/>
      <c r="J153" s="1057">
        <v>0</v>
      </c>
      <c r="K153" s="1062"/>
      <c r="L153" s="1062">
        <v>0</v>
      </c>
      <c r="M153" s="1062"/>
      <c r="N153" s="1053">
        <v>240961221</v>
      </c>
      <c r="O153" s="1053"/>
      <c r="P153" s="1055">
        <v>1927689.7680000002</v>
      </c>
      <c r="Q153" s="1052"/>
      <c r="R153" s="1052"/>
      <c r="S153" s="1052"/>
      <c r="T153" s="1052"/>
      <c r="U153" s="1052"/>
      <c r="V153" s="1052"/>
      <c r="W153" s="1052"/>
      <c r="X153" s="1052"/>
    </row>
    <row r="154" spans="1:24" ht="12" customHeight="1">
      <c r="A154" s="993" t="s">
        <v>153</v>
      </c>
      <c r="B154" s="1053">
        <v>350622643</v>
      </c>
      <c r="C154" s="1059"/>
      <c r="D154" s="1053">
        <v>11950120.610000001</v>
      </c>
      <c r="E154" s="1053"/>
      <c r="F154" s="1053">
        <v>112709350</v>
      </c>
      <c r="G154" s="1054"/>
      <c r="H154" s="1053">
        <v>1690640.25</v>
      </c>
      <c r="I154" s="1054"/>
      <c r="J154" s="1057">
        <v>0</v>
      </c>
      <c r="K154" s="1062"/>
      <c r="L154" s="1062">
        <v>0</v>
      </c>
      <c r="M154" s="1062"/>
      <c r="N154" s="1053">
        <v>120928855</v>
      </c>
      <c r="O154" s="1053"/>
      <c r="P154" s="1055">
        <v>971843.05</v>
      </c>
      <c r="Q154" s="1052"/>
      <c r="R154" s="1052"/>
      <c r="S154" s="1052"/>
      <c r="T154" s="1052"/>
      <c r="U154" s="1052"/>
      <c r="V154" s="1052"/>
      <c r="W154" s="1052"/>
      <c r="X154" s="1052"/>
    </row>
    <row r="155" spans="1:24" ht="12" customHeight="1">
      <c r="A155" s="993" t="s">
        <v>155</v>
      </c>
      <c r="B155" s="1053">
        <v>40137702</v>
      </c>
      <c r="C155" s="1059"/>
      <c r="D155" s="1053">
        <v>2001958.909</v>
      </c>
      <c r="E155" s="1053"/>
      <c r="F155" s="1053">
        <v>9196831</v>
      </c>
      <c r="G155" s="1054"/>
      <c r="H155" s="1053">
        <v>459841.55</v>
      </c>
      <c r="I155" s="1054"/>
      <c r="J155" s="1057">
        <v>0</v>
      </c>
      <c r="K155" s="1062"/>
      <c r="L155" s="1062">
        <v>0</v>
      </c>
      <c r="M155" s="1062"/>
      <c r="N155" s="1053">
        <v>23344384</v>
      </c>
      <c r="O155" s="1053"/>
      <c r="P155" s="1055">
        <v>222516.96949999998</v>
      </c>
      <c r="Q155" s="1052"/>
      <c r="R155" s="1052"/>
      <c r="S155" s="1052"/>
      <c r="T155" s="1052"/>
      <c r="U155" s="1052"/>
      <c r="V155" s="1052"/>
      <c r="W155" s="1052"/>
      <c r="X155" s="1052"/>
    </row>
    <row r="156" spans="1:24" ht="12" customHeight="1">
      <c r="A156" s="993" t="s">
        <v>1182</v>
      </c>
      <c r="B156" s="1053">
        <v>355371444</v>
      </c>
      <c r="C156" s="1054"/>
      <c r="D156" s="1053">
        <v>12569166.48</v>
      </c>
      <c r="E156" s="1054"/>
      <c r="F156" s="1053">
        <v>968682</v>
      </c>
      <c r="G156" s="1054"/>
      <c r="H156" s="1053">
        <v>40006.58</v>
      </c>
      <c r="I156" s="1054"/>
      <c r="J156" s="1053">
        <v>0</v>
      </c>
      <c r="K156" s="1054"/>
      <c r="L156" s="1053">
        <v>0</v>
      </c>
      <c r="M156" s="1054"/>
      <c r="N156" s="1053">
        <v>119090933</v>
      </c>
      <c r="O156" s="1054"/>
      <c r="P156" s="1055">
        <v>1399318.46</v>
      </c>
      <c r="Q156" s="1052"/>
      <c r="R156" s="1052"/>
      <c r="S156" s="1052"/>
      <c r="T156" s="1052"/>
      <c r="U156" s="1052"/>
      <c r="V156" s="1052"/>
      <c r="W156" s="1052"/>
      <c r="X156" s="1052"/>
    </row>
    <row r="157" spans="1:24" ht="8.25" customHeight="1">
      <c r="B157" s="1053"/>
      <c r="C157" s="1054"/>
      <c r="D157" s="1053"/>
      <c r="E157" s="1054"/>
      <c r="F157" s="1053"/>
      <c r="G157" s="1054"/>
      <c r="H157" s="1053"/>
      <c r="I157" s="1054"/>
      <c r="J157" s="1053"/>
      <c r="K157" s="1054"/>
      <c r="L157" s="1053"/>
      <c r="M157" s="1054"/>
      <c r="N157" s="1053"/>
      <c r="O157" s="1054"/>
      <c r="P157" s="1055"/>
      <c r="Q157" s="1052"/>
      <c r="R157" s="1052"/>
      <c r="S157" s="1052"/>
      <c r="T157" s="1052"/>
      <c r="U157" s="1052"/>
      <c r="V157" s="1052"/>
      <c r="W157" s="1052"/>
      <c r="X157" s="1052"/>
    </row>
    <row r="158" spans="1:24" ht="12" customHeight="1">
      <c r="A158" s="993" t="s">
        <v>528</v>
      </c>
      <c r="B158" s="1053">
        <v>155919964</v>
      </c>
      <c r="C158" s="1054"/>
      <c r="D158" s="1053">
        <v>7795998.2000000002</v>
      </c>
      <c r="E158" s="1054"/>
      <c r="F158" s="1053">
        <v>0</v>
      </c>
      <c r="G158" s="1054"/>
      <c r="H158" s="1053">
        <v>0</v>
      </c>
      <c r="I158" s="1054"/>
      <c r="J158" s="1053">
        <v>0</v>
      </c>
      <c r="K158" s="1054"/>
      <c r="L158" s="1053">
        <v>0</v>
      </c>
      <c r="M158" s="1054"/>
      <c r="N158" s="1053">
        <v>0</v>
      </c>
      <c r="O158" s="1054"/>
      <c r="P158" s="1055">
        <v>0</v>
      </c>
      <c r="Q158" s="1052"/>
      <c r="R158" s="1052"/>
      <c r="S158" s="1052"/>
      <c r="T158" s="1052"/>
      <c r="U158" s="1052"/>
      <c r="V158" s="1052"/>
      <c r="W158" s="1052"/>
      <c r="X158" s="1052"/>
    </row>
    <row r="159" spans="1:24" ht="12" customHeight="1">
      <c r="A159" s="993" t="s">
        <v>26</v>
      </c>
      <c r="B159" s="1053">
        <v>67729504</v>
      </c>
      <c r="C159" s="1054"/>
      <c r="D159" s="1053">
        <v>3047827.68</v>
      </c>
      <c r="E159" s="1054"/>
      <c r="F159" s="1053">
        <v>1205332</v>
      </c>
      <c r="G159" s="1054"/>
      <c r="H159" s="1053">
        <v>24106.639999999999</v>
      </c>
      <c r="I159" s="1054"/>
      <c r="J159" s="1053">
        <v>0</v>
      </c>
      <c r="K159" s="1054"/>
      <c r="L159" s="1053">
        <v>0</v>
      </c>
      <c r="M159" s="1054"/>
      <c r="N159" s="1053">
        <v>8390726</v>
      </c>
      <c r="O159" s="1054"/>
      <c r="P159" s="1055">
        <v>86537.669199999989</v>
      </c>
      <c r="Q159" s="1052"/>
      <c r="R159" s="1052"/>
      <c r="S159" s="1052"/>
      <c r="T159" s="1052"/>
      <c r="U159" s="1052"/>
      <c r="V159" s="1052"/>
      <c r="W159" s="1052"/>
      <c r="X159" s="1052"/>
    </row>
    <row r="160" spans="1:24" ht="12" customHeight="1">
      <c r="A160" s="993" t="s">
        <v>160</v>
      </c>
      <c r="B160" s="1053">
        <v>396802006</v>
      </c>
      <c r="C160" s="1054"/>
      <c r="D160" s="1053">
        <v>13491268.203999998</v>
      </c>
      <c r="E160" s="1054"/>
      <c r="F160" s="1053">
        <v>16251225</v>
      </c>
      <c r="G160" s="1054"/>
      <c r="H160" s="1053">
        <v>130009.8</v>
      </c>
      <c r="I160" s="1054"/>
      <c r="J160" s="1053">
        <v>0</v>
      </c>
      <c r="K160" s="1054"/>
      <c r="L160" s="1053">
        <v>0</v>
      </c>
      <c r="M160" s="1054"/>
      <c r="N160" s="1053">
        <v>657943</v>
      </c>
      <c r="O160" s="1054"/>
      <c r="P160" s="1055">
        <v>5664.5160000000005</v>
      </c>
      <c r="Q160" s="1052"/>
      <c r="R160" s="1052"/>
      <c r="S160" s="1052"/>
      <c r="T160" s="1052"/>
      <c r="U160" s="1052"/>
      <c r="V160" s="1052"/>
      <c r="W160" s="1052"/>
      <c r="X160" s="1052"/>
    </row>
    <row r="161" spans="1:24" ht="12" customHeight="1">
      <c r="A161" s="993" t="s">
        <v>162</v>
      </c>
      <c r="B161" s="1053">
        <v>45782687</v>
      </c>
      <c r="C161" s="1059"/>
      <c r="D161" s="1053">
        <v>1019090.6209999999</v>
      </c>
      <c r="E161" s="1053"/>
      <c r="F161" s="1053">
        <v>84993232</v>
      </c>
      <c r="G161" s="1053"/>
      <c r="H161" s="1053">
        <v>1274898.48</v>
      </c>
      <c r="I161" s="1053"/>
      <c r="J161" s="1053">
        <v>0</v>
      </c>
      <c r="K161" s="1053"/>
      <c r="L161" s="1053">
        <v>0</v>
      </c>
      <c r="M161" s="1053"/>
      <c r="N161" s="1053">
        <v>15615523</v>
      </c>
      <c r="O161" s="1053"/>
      <c r="P161" s="1055">
        <v>127714.08550000002</v>
      </c>
      <c r="Q161" s="1052"/>
      <c r="R161" s="1052"/>
      <c r="S161" s="1052"/>
      <c r="T161" s="1052"/>
      <c r="U161" s="1052"/>
      <c r="V161" s="1052"/>
      <c r="W161" s="1052"/>
      <c r="X161" s="1052"/>
    </row>
    <row r="162" spans="1:24" ht="12" customHeight="1">
      <c r="A162" s="993" t="s">
        <v>538</v>
      </c>
      <c r="B162" s="1053">
        <v>1091333359</v>
      </c>
      <c r="C162" s="1054"/>
      <c r="D162" s="1053">
        <v>46214999.608000003</v>
      </c>
      <c r="E162" s="1054"/>
      <c r="F162" s="1053">
        <v>85797234</v>
      </c>
      <c r="G162" s="1054"/>
      <c r="H162" s="1053">
        <v>2850327.0950000002</v>
      </c>
      <c r="I162" s="1054"/>
      <c r="J162" s="1053">
        <v>0</v>
      </c>
      <c r="K162" s="1054"/>
      <c r="L162" s="1053">
        <v>0</v>
      </c>
      <c r="M162" s="1054"/>
      <c r="N162" s="1053">
        <v>395655954</v>
      </c>
      <c r="O162" s="1054"/>
      <c r="P162" s="1055">
        <v>4921452.928199999</v>
      </c>
      <c r="Q162" s="1052"/>
      <c r="R162" s="1052"/>
      <c r="S162" s="1052"/>
      <c r="T162" s="1052"/>
      <c r="U162" s="1052"/>
      <c r="V162" s="1052"/>
      <c r="W162" s="1052"/>
      <c r="X162" s="1052"/>
    </row>
    <row r="163" spans="1:24" ht="8.25" customHeight="1">
      <c r="B163" s="1053"/>
      <c r="C163" s="1054"/>
      <c r="D163" s="1053"/>
      <c r="E163" s="1054"/>
      <c r="F163" s="1053"/>
      <c r="G163" s="1054"/>
      <c r="H163" s="1053"/>
      <c r="I163" s="1054"/>
      <c r="J163" s="1053"/>
      <c r="K163" s="1054"/>
      <c r="L163" s="1053"/>
      <c r="M163" s="1054"/>
      <c r="N163" s="1053"/>
      <c r="O163" s="1054"/>
      <c r="P163" s="1055"/>
      <c r="Q163" s="1052"/>
      <c r="R163" s="1052"/>
      <c r="S163" s="1052"/>
      <c r="T163" s="1052"/>
      <c r="U163" s="1052"/>
      <c r="V163" s="1052"/>
      <c r="W163" s="1052"/>
      <c r="X163" s="1052"/>
    </row>
    <row r="164" spans="1:24" ht="12" customHeight="1">
      <c r="A164" s="993" t="s">
        <v>1062</v>
      </c>
      <c r="B164" s="1053">
        <v>443336602</v>
      </c>
      <c r="C164" s="1059"/>
      <c r="D164" s="1053">
        <v>12687094.592599999</v>
      </c>
      <c r="E164" s="1053"/>
      <c r="F164" s="1053">
        <v>129877009</v>
      </c>
      <c r="G164" s="1053"/>
      <c r="H164" s="1053">
        <v>2753392.5908000004</v>
      </c>
      <c r="I164" s="1053"/>
      <c r="J164" s="1053">
        <v>0</v>
      </c>
      <c r="K164" s="1057"/>
      <c r="L164" s="1053">
        <v>0</v>
      </c>
      <c r="M164" s="1057"/>
      <c r="N164" s="1053">
        <v>48885871</v>
      </c>
      <c r="O164" s="1053"/>
      <c r="P164" s="1055">
        <v>421097.84180000005</v>
      </c>
      <c r="Q164" s="1052"/>
      <c r="R164" s="1052"/>
      <c r="S164" s="1052"/>
      <c r="T164" s="1052"/>
      <c r="U164" s="1052"/>
      <c r="V164" s="1052"/>
      <c r="W164" s="1052"/>
      <c r="X164" s="1052"/>
    </row>
    <row r="165" spans="1:24" ht="12" customHeight="1">
      <c r="A165" s="993" t="s">
        <v>168</v>
      </c>
      <c r="B165" s="1053">
        <v>153554392</v>
      </c>
      <c r="C165" s="1059"/>
      <c r="D165" s="1053">
        <v>5368088.1677000001</v>
      </c>
      <c r="E165" s="1053"/>
      <c r="F165" s="1053">
        <v>290803910</v>
      </c>
      <c r="G165" s="1053"/>
      <c r="H165" s="1053">
        <v>0</v>
      </c>
      <c r="I165" s="1053"/>
      <c r="J165" s="1053">
        <v>0</v>
      </c>
      <c r="K165" s="1053"/>
      <c r="L165" s="1053">
        <v>0</v>
      </c>
      <c r="M165" s="1053"/>
      <c r="N165" s="1053">
        <v>396788105</v>
      </c>
      <c r="O165" s="1053"/>
      <c r="P165" s="1055">
        <v>4489703.1084999992</v>
      </c>
      <c r="Q165" s="1052"/>
      <c r="R165" s="1052"/>
      <c r="S165" s="1052"/>
      <c r="T165" s="1052"/>
      <c r="U165" s="1052"/>
      <c r="V165" s="1052"/>
      <c r="W165" s="1052"/>
      <c r="X165" s="1052"/>
    </row>
    <row r="166" spans="1:24" ht="12" customHeight="1">
      <c r="A166" s="993" t="s">
        <v>1063</v>
      </c>
      <c r="B166" s="1053">
        <v>44001870.950000003</v>
      </c>
      <c r="C166" s="1059"/>
      <c r="D166" s="1053">
        <v>1867150.6503750002</v>
      </c>
      <c r="E166" s="1053"/>
      <c r="F166" s="1053">
        <v>86864.35</v>
      </c>
      <c r="G166" s="1053"/>
      <c r="H166" s="1053">
        <v>3691.7348750000006</v>
      </c>
      <c r="I166" s="1053"/>
      <c r="J166" s="1053">
        <v>0</v>
      </c>
      <c r="K166" s="1053"/>
      <c r="L166" s="1053">
        <v>0</v>
      </c>
      <c r="M166" s="1053"/>
      <c r="N166" s="1053">
        <v>189714</v>
      </c>
      <c r="O166" s="1053"/>
      <c r="P166" s="1055">
        <v>8062.8450000000003</v>
      </c>
      <c r="Q166" s="1052"/>
      <c r="R166" s="1052"/>
      <c r="S166" s="1052"/>
      <c r="T166" s="1052"/>
      <c r="U166" s="1052"/>
      <c r="V166" s="1052"/>
      <c r="W166" s="1052"/>
      <c r="X166" s="1052"/>
    </row>
    <row r="167" spans="1:24" ht="12" customHeight="1">
      <c r="A167" s="997" t="s">
        <v>172</v>
      </c>
      <c r="B167" s="1055">
        <v>706588807</v>
      </c>
      <c r="C167" s="1063"/>
      <c r="D167" s="1055">
        <v>22432588.0656</v>
      </c>
      <c r="E167" s="1055"/>
      <c r="F167" s="1055">
        <v>175643050</v>
      </c>
      <c r="G167" s="1055"/>
      <c r="H167" s="1055">
        <v>5269291.5</v>
      </c>
      <c r="I167" s="1055"/>
      <c r="J167" s="1055">
        <v>0</v>
      </c>
      <c r="K167" s="1064"/>
      <c r="L167" s="1055">
        <v>0</v>
      </c>
      <c r="M167" s="1064"/>
      <c r="N167" s="1055">
        <v>234378511</v>
      </c>
      <c r="O167" s="1055"/>
      <c r="P167" s="1055">
        <v>2611364.3160000001</v>
      </c>
      <c r="Q167" s="1052"/>
      <c r="R167" s="1052"/>
      <c r="S167" s="1052"/>
      <c r="T167" s="1052"/>
      <c r="U167" s="1052"/>
      <c r="V167" s="1052"/>
      <c r="W167" s="1052"/>
      <c r="X167" s="1052"/>
    </row>
    <row r="168" spans="1:24" s="997" customFormat="1" ht="12" customHeight="1">
      <c r="A168" s="997" t="s">
        <v>1064</v>
      </c>
      <c r="B168" s="1055">
        <v>394726840</v>
      </c>
      <c r="C168" s="1063"/>
      <c r="D168" s="1055">
        <v>13983311.2535</v>
      </c>
      <c r="E168" s="1055"/>
      <c r="F168" s="1055">
        <v>528032440</v>
      </c>
      <c r="G168" s="1055"/>
      <c r="H168" s="1055">
        <v>4948396.0410000002</v>
      </c>
      <c r="I168" s="1055"/>
      <c r="J168" s="1055">
        <v>0</v>
      </c>
      <c r="K168" s="1064"/>
      <c r="L168" s="1055">
        <v>0</v>
      </c>
      <c r="M168" s="1064"/>
      <c r="N168" s="1055">
        <v>107611630</v>
      </c>
      <c r="O168" s="1055"/>
      <c r="P168" s="1055">
        <v>1592864.76</v>
      </c>
      <c r="Q168" s="1052"/>
      <c r="R168" s="1052"/>
      <c r="S168" s="1052"/>
      <c r="T168" s="1052"/>
      <c r="U168" s="1052"/>
      <c r="V168" s="1052"/>
      <c r="W168" s="1052"/>
      <c r="X168" s="1052"/>
    </row>
    <row r="169" spans="1:24" ht="14.25" customHeight="1">
      <c r="A169" s="992" t="s">
        <v>1096</v>
      </c>
      <c r="B169" s="1040"/>
      <c r="C169" s="1006"/>
      <c r="D169" s="1040"/>
      <c r="E169" s="1006"/>
      <c r="F169" s="1040"/>
      <c r="G169" s="1006"/>
      <c r="H169" s="1040"/>
      <c r="I169" s="1006"/>
      <c r="J169" s="1040"/>
      <c r="K169" s="1006"/>
      <c r="L169" s="1040"/>
      <c r="M169" s="1006"/>
      <c r="N169" s="1040"/>
      <c r="O169" s="1006"/>
      <c r="P169" s="1040"/>
      <c r="Q169" s="1010"/>
      <c r="R169" s="1010"/>
      <c r="S169" s="1010"/>
      <c r="T169" s="1010"/>
      <c r="U169" s="1010"/>
      <c r="V169" s="1010"/>
      <c r="W169" s="1010"/>
      <c r="X169" s="1010"/>
    </row>
    <row r="170" spans="1:24" s="1020" customFormat="1" ht="12.75">
      <c r="A170" s="1041" t="s">
        <v>1089</v>
      </c>
      <c r="B170" s="1041"/>
      <c r="C170" s="1041"/>
      <c r="D170" s="1041"/>
      <c r="E170" s="1041"/>
      <c r="F170" s="1041"/>
      <c r="G170" s="1041"/>
      <c r="H170" s="1041"/>
      <c r="I170" s="1041"/>
      <c r="J170" s="1041"/>
      <c r="K170" s="1041"/>
      <c r="L170" s="1041"/>
      <c r="M170" s="1041"/>
      <c r="N170" s="1041"/>
      <c r="O170" s="1041"/>
      <c r="P170" s="1041"/>
      <c r="Q170" s="1066"/>
      <c r="R170" s="1066"/>
      <c r="S170" s="1066"/>
      <c r="T170" s="1066"/>
      <c r="U170" s="1066"/>
      <c r="V170" s="1066"/>
      <c r="W170" s="1066"/>
      <c r="X170" s="1066"/>
    </row>
    <row r="171" spans="1:24" ht="12.75">
      <c r="A171" s="1217" t="str">
        <f>A129</f>
        <v>Assessed Values and Levies by Locality - Tax Year 2019</v>
      </c>
      <c r="B171" s="1217"/>
      <c r="C171" s="1216"/>
      <c r="D171" s="1216"/>
      <c r="E171" s="1216"/>
      <c r="F171" s="1216"/>
      <c r="G171" s="1216"/>
      <c r="H171" s="1216"/>
      <c r="I171" s="1216"/>
      <c r="J171" s="1216"/>
      <c r="K171" s="1216"/>
      <c r="L171" s="1216"/>
      <c r="M171" s="1216"/>
      <c r="N171" s="1216"/>
      <c r="O171" s="1216"/>
      <c r="P171" s="1216"/>
      <c r="Q171" s="1044"/>
      <c r="R171" s="1044"/>
      <c r="S171" s="1044"/>
      <c r="T171" s="1044"/>
      <c r="U171" s="1044"/>
      <c r="V171" s="1044"/>
      <c r="W171" s="1044"/>
      <c r="X171" s="1044"/>
    </row>
    <row r="172" spans="1:24" ht="8.25" customHeight="1" thickBot="1">
      <c r="A172" s="1007"/>
      <c r="B172" s="1007"/>
      <c r="C172" s="1007"/>
      <c r="D172" s="1007"/>
      <c r="E172" s="1007"/>
      <c r="F172" s="1007"/>
      <c r="G172" s="1007"/>
      <c r="H172" s="1007"/>
      <c r="I172" s="1007"/>
      <c r="J172" s="1007"/>
      <c r="K172" s="1007"/>
      <c r="L172" s="1007"/>
      <c r="M172" s="1007"/>
      <c r="N172" s="1007"/>
      <c r="O172" s="1007"/>
      <c r="P172" s="1007"/>
      <c r="Q172" s="1044"/>
      <c r="R172" s="1044"/>
      <c r="S172" s="1044"/>
      <c r="T172" s="1044"/>
      <c r="U172" s="1044"/>
      <c r="V172" s="1044"/>
      <c r="W172" s="1044"/>
      <c r="X172" s="1044"/>
    </row>
    <row r="173" spans="1:24" ht="12.75" customHeight="1">
      <c r="A173" s="1006"/>
      <c r="B173" s="1400" t="s">
        <v>1090</v>
      </c>
      <c r="C173" s="1400"/>
      <c r="D173" s="1400"/>
      <c r="E173" s="1006"/>
      <c r="F173" s="1400" t="s">
        <v>1091</v>
      </c>
      <c r="G173" s="1400"/>
      <c r="H173" s="1400"/>
      <c r="I173" s="1006"/>
      <c r="J173" s="1400" t="s">
        <v>1092</v>
      </c>
      <c r="K173" s="1400"/>
      <c r="L173" s="1400"/>
      <c r="M173" s="1006"/>
      <c r="N173" s="1400" t="s">
        <v>1093</v>
      </c>
      <c r="O173" s="1400"/>
      <c r="P173" s="1400"/>
      <c r="Q173" s="1045"/>
      <c r="R173" s="1045"/>
      <c r="S173" s="1045"/>
      <c r="T173" s="1045"/>
      <c r="U173" s="1045"/>
      <c r="V173" s="1045"/>
      <c r="W173" s="1045"/>
      <c r="X173" s="1045"/>
    </row>
    <row r="174" spans="1:24" ht="10.5" customHeight="1">
      <c r="A174" s="1046" t="s">
        <v>25</v>
      </c>
      <c r="B174" s="1047" t="s">
        <v>1094</v>
      </c>
      <c r="C174" s="1016"/>
      <c r="D174" s="1047" t="s">
        <v>1095</v>
      </c>
      <c r="E174" s="1016"/>
      <c r="F174" s="1047" t="s">
        <v>1094</v>
      </c>
      <c r="G174" s="1016"/>
      <c r="H174" s="1047" t="s">
        <v>1095</v>
      </c>
      <c r="I174" s="1016"/>
      <c r="J174" s="1047" t="s">
        <v>1094</v>
      </c>
      <c r="K174" s="1016"/>
      <c r="L174" s="1047" t="s">
        <v>1095</v>
      </c>
      <c r="M174" s="1016"/>
      <c r="N174" s="1047" t="s">
        <v>1094</v>
      </c>
      <c r="O174" s="1016"/>
      <c r="P174" s="1047" t="s">
        <v>1095</v>
      </c>
      <c r="Q174" s="1048"/>
      <c r="R174" s="1048"/>
      <c r="S174" s="1048"/>
      <c r="T174" s="1048"/>
      <c r="U174" s="1048"/>
      <c r="V174" s="1048"/>
      <c r="W174" s="1048"/>
      <c r="X174" s="1048"/>
    </row>
    <row r="175" spans="1:24" ht="6" customHeight="1"/>
    <row r="176" spans="1:24" ht="12" customHeight="1">
      <c r="A176" s="993" t="s">
        <v>1185</v>
      </c>
      <c r="B176" s="1049">
        <v>148861685</v>
      </c>
      <c r="C176" s="1050"/>
      <c r="D176" s="1049">
        <v>5208028.6000000006</v>
      </c>
      <c r="E176" s="1050"/>
      <c r="F176" s="1049">
        <v>1001820</v>
      </c>
      <c r="G176" s="1050"/>
      <c r="H176" s="1049">
        <v>35063.79</v>
      </c>
      <c r="I176" s="1050"/>
      <c r="J176" s="1049">
        <v>0</v>
      </c>
      <c r="K176" s="1050"/>
      <c r="L176" s="1049">
        <v>0</v>
      </c>
      <c r="M176" s="1050"/>
      <c r="N176" s="1049">
        <v>29893474</v>
      </c>
      <c r="O176" s="1050"/>
      <c r="P176" s="1051">
        <v>463348.85</v>
      </c>
      <c r="Q176" s="1052"/>
      <c r="R176" s="1052"/>
      <c r="S176" s="1052"/>
      <c r="T176" s="1052"/>
      <c r="U176" s="1052"/>
      <c r="V176" s="1052"/>
      <c r="W176" s="1052"/>
      <c r="X176" s="1052"/>
    </row>
    <row r="177" spans="1:24" ht="12" customHeight="1">
      <c r="A177" s="993" t="s">
        <v>178</v>
      </c>
      <c r="B177" s="1053">
        <v>121108524</v>
      </c>
      <c r="C177" s="1059"/>
      <c r="D177" s="1053">
        <v>2785075.3469999996</v>
      </c>
      <c r="E177" s="1059"/>
      <c r="F177" s="1053">
        <v>9271824</v>
      </c>
      <c r="G177" s="1059"/>
      <c r="H177" s="1053">
        <v>171528.74400000001</v>
      </c>
      <c r="I177" s="1059"/>
      <c r="J177" s="1053">
        <v>0</v>
      </c>
      <c r="K177" s="1059"/>
      <c r="L177" s="1053">
        <v>0</v>
      </c>
      <c r="M177" s="1059"/>
      <c r="N177" s="1053">
        <v>26482800</v>
      </c>
      <c r="O177" s="1059"/>
      <c r="P177" s="1055">
        <v>287280.060084</v>
      </c>
      <c r="Q177" s="1052"/>
      <c r="R177" s="1052"/>
      <c r="S177" s="1052"/>
      <c r="T177" s="1052"/>
      <c r="U177" s="1052"/>
      <c r="V177" s="1052"/>
      <c r="W177" s="1052"/>
      <c r="X177" s="1052"/>
    </row>
    <row r="178" spans="1:24" ht="12" customHeight="1">
      <c r="A178" s="993" t="s">
        <v>180</v>
      </c>
      <c r="B178" s="1053">
        <v>1481437647</v>
      </c>
      <c r="C178" s="1059"/>
      <c r="D178" s="1053">
        <v>63099596.520400003</v>
      </c>
      <c r="E178" s="1059"/>
      <c r="F178" s="1053">
        <v>654377924</v>
      </c>
      <c r="G178" s="1059"/>
      <c r="H178" s="1053">
        <v>24539172.43</v>
      </c>
      <c r="I178" s="1059"/>
      <c r="J178" s="1053">
        <v>0</v>
      </c>
      <c r="K178" s="1059"/>
      <c r="L178" s="1053">
        <v>0</v>
      </c>
      <c r="M178" s="1059"/>
      <c r="N178" s="1053">
        <v>349211885</v>
      </c>
      <c r="O178" s="1059"/>
      <c r="P178" s="1055">
        <v>4386273.9226000002</v>
      </c>
      <c r="Q178" s="1052"/>
      <c r="R178" s="1052"/>
      <c r="S178" s="1052"/>
      <c r="T178" s="1052"/>
      <c r="U178" s="1052"/>
      <c r="V178" s="1052"/>
      <c r="W178" s="1052"/>
      <c r="X178" s="1052"/>
    </row>
    <row r="179" spans="1:24" ht="12" customHeight="1">
      <c r="A179" s="993" t="s">
        <v>182</v>
      </c>
      <c r="B179" s="1053">
        <v>726794194.14999998</v>
      </c>
      <c r="C179" s="1054"/>
      <c r="D179" s="1053">
        <v>27554555.665875003</v>
      </c>
      <c r="E179" s="1054"/>
      <c r="F179" s="1053">
        <v>206173924</v>
      </c>
      <c r="G179" s="1054"/>
      <c r="H179" s="1053">
        <v>6513149.9330000002</v>
      </c>
      <c r="I179" s="1054"/>
      <c r="J179" s="1053">
        <v>0</v>
      </c>
      <c r="K179" s="1054"/>
      <c r="L179" s="1053">
        <v>0</v>
      </c>
      <c r="M179" s="1054"/>
      <c r="N179" s="1053">
        <v>799618378</v>
      </c>
      <c r="O179" s="1054"/>
      <c r="P179" s="1055">
        <v>9222755.6679999996</v>
      </c>
      <c r="Q179" s="1052"/>
      <c r="R179" s="1052"/>
      <c r="S179" s="1052"/>
      <c r="T179" s="1052"/>
      <c r="U179" s="1052"/>
      <c r="V179" s="1052"/>
      <c r="W179" s="1052"/>
      <c r="X179" s="1052"/>
    </row>
    <row r="180" spans="1:24" ht="12" customHeight="1">
      <c r="A180" s="993" t="s">
        <v>1065</v>
      </c>
      <c r="B180" s="1053">
        <v>33141316</v>
      </c>
      <c r="C180" s="1054"/>
      <c r="D180" s="1053">
        <v>663528.36950000003</v>
      </c>
      <c r="E180" s="1054"/>
      <c r="F180" s="1053">
        <v>5194981</v>
      </c>
      <c r="G180" s="1054"/>
      <c r="H180" s="1053">
        <v>106497.1105</v>
      </c>
      <c r="I180" s="1054"/>
      <c r="J180" s="1053">
        <v>0</v>
      </c>
      <c r="K180" s="1054"/>
      <c r="L180" s="1053">
        <v>0</v>
      </c>
      <c r="M180" s="1054"/>
      <c r="N180" s="1053">
        <v>26890950</v>
      </c>
      <c r="O180" s="1054"/>
      <c r="P180" s="1055">
        <v>242018.55</v>
      </c>
      <c r="Q180" s="1052"/>
      <c r="R180" s="1052"/>
      <c r="S180" s="1052"/>
      <c r="T180" s="1052"/>
      <c r="U180" s="1052"/>
      <c r="V180" s="1052"/>
      <c r="W180" s="1052"/>
      <c r="X180" s="1052"/>
    </row>
    <row r="181" spans="1:24" ht="6" customHeight="1">
      <c r="B181" s="1053"/>
      <c r="C181" s="1054"/>
      <c r="D181" s="1053"/>
      <c r="E181" s="1054"/>
      <c r="F181" s="1053"/>
      <c r="G181" s="1054"/>
      <c r="H181" s="1053"/>
      <c r="I181" s="1054"/>
      <c r="J181" s="1053"/>
      <c r="K181" s="1054"/>
      <c r="L181" s="1053"/>
      <c r="M181" s="1054"/>
      <c r="N181" s="1053"/>
      <c r="O181" s="1054"/>
      <c r="P181" s="1055"/>
      <c r="Q181" s="1052"/>
      <c r="R181" s="1052"/>
      <c r="S181" s="1052"/>
      <c r="T181" s="1052"/>
      <c r="U181" s="1052"/>
      <c r="V181" s="1052"/>
      <c r="W181" s="1052"/>
      <c r="X181" s="1052"/>
    </row>
    <row r="182" spans="1:24" ht="12" customHeight="1">
      <c r="A182" s="993" t="s">
        <v>1184</v>
      </c>
      <c r="B182" s="1053">
        <v>179256015</v>
      </c>
      <c r="C182" s="1054"/>
      <c r="D182" s="1053">
        <v>46608240.060000002</v>
      </c>
      <c r="E182" s="1054"/>
      <c r="F182" s="1053">
        <v>38823776</v>
      </c>
      <c r="G182" s="1054"/>
      <c r="H182" s="1053">
        <v>1475303.48</v>
      </c>
      <c r="I182" s="1054"/>
      <c r="J182" s="1053">
        <v>0</v>
      </c>
      <c r="K182" s="1054"/>
      <c r="L182" s="1053">
        <v>0</v>
      </c>
      <c r="M182" s="1054"/>
      <c r="N182" s="1053">
        <v>311967873</v>
      </c>
      <c r="O182" s="1054"/>
      <c r="P182" s="1055">
        <v>7372264.2699999996</v>
      </c>
      <c r="Q182" s="1052"/>
      <c r="R182" s="1052"/>
      <c r="S182" s="1052"/>
      <c r="T182" s="1052"/>
      <c r="U182" s="1052"/>
      <c r="V182" s="1052"/>
      <c r="W182" s="1052"/>
      <c r="X182" s="1052"/>
    </row>
    <row r="183" spans="1:24" ht="12" customHeight="1">
      <c r="A183" s="993" t="s">
        <v>1183</v>
      </c>
      <c r="B183" s="1053">
        <v>162722390</v>
      </c>
      <c r="C183" s="1054"/>
      <c r="D183" s="1053">
        <v>4866799.04</v>
      </c>
      <c r="E183" s="1054"/>
      <c r="F183" s="1053">
        <v>0</v>
      </c>
      <c r="G183" s="1054"/>
      <c r="H183" s="1053">
        <v>0</v>
      </c>
      <c r="I183" s="1054"/>
      <c r="J183" s="1053">
        <v>0</v>
      </c>
      <c r="K183" s="1054"/>
      <c r="L183" s="1053">
        <v>0</v>
      </c>
      <c r="M183" s="1054"/>
      <c r="N183" s="1053">
        <v>22895189</v>
      </c>
      <c r="O183" s="1054"/>
      <c r="P183" s="1055">
        <v>261005.16</v>
      </c>
      <c r="Q183" s="1052"/>
      <c r="R183" s="1052"/>
      <c r="S183" s="1052"/>
      <c r="T183" s="1052"/>
      <c r="U183" s="1052"/>
      <c r="V183" s="1052"/>
      <c r="W183" s="1052"/>
      <c r="X183" s="1052"/>
    </row>
    <row r="184" spans="1:24" ht="12" customHeight="1">
      <c r="A184" s="993" t="s">
        <v>1133</v>
      </c>
      <c r="B184" s="1053">
        <v>742662810.92999995</v>
      </c>
      <c r="C184" s="1054"/>
      <c r="D184" s="1053">
        <v>32730745.759999998</v>
      </c>
      <c r="E184" s="1054"/>
      <c r="F184" s="1053">
        <v>34139299</v>
      </c>
      <c r="G184" s="1054"/>
      <c r="H184" s="1053">
        <v>1024540.23</v>
      </c>
      <c r="I184" s="1054"/>
      <c r="J184" s="1053">
        <v>0</v>
      </c>
      <c r="K184" s="1054"/>
      <c r="L184" s="1053">
        <v>0</v>
      </c>
      <c r="M184" s="1054"/>
      <c r="N184" s="1053">
        <v>249173089</v>
      </c>
      <c r="O184" s="1054"/>
      <c r="P184" s="1055">
        <v>3281878.31</v>
      </c>
      <c r="Q184" s="1052"/>
      <c r="R184" s="1052"/>
      <c r="S184" s="1052"/>
      <c r="T184" s="1052"/>
      <c r="U184" s="1052"/>
      <c r="V184" s="1052"/>
      <c r="W184" s="1052"/>
      <c r="X184" s="1052"/>
    </row>
    <row r="185" spans="1:24" ht="12" customHeight="1">
      <c r="A185" s="993" t="s">
        <v>192</v>
      </c>
      <c r="B185" s="1053">
        <v>65822818</v>
      </c>
      <c r="C185" s="1059"/>
      <c r="D185" s="1053">
        <v>1598807.11</v>
      </c>
      <c r="E185" s="1059"/>
      <c r="F185" s="1053">
        <v>15590734</v>
      </c>
      <c r="G185" s="1059"/>
      <c r="H185" s="1053">
        <v>274396.95</v>
      </c>
      <c r="I185" s="1059"/>
      <c r="J185" s="1053">
        <v>0</v>
      </c>
      <c r="K185" s="1059"/>
      <c r="L185" s="1053">
        <v>0</v>
      </c>
      <c r="M185" s="1059"/>
      <c r="N185" s="1053">
        <v>25370785</v>
      </c>
      <c r="O185" s="1059"/>
      <c r="P185" s="1055">
        <v>208123.72999999998</v>
      </c>
      <c r="Q185" s="1052"/>
      <c r="R185" s="1052"/>
      <c r="S185" s="1052"/>
      <c r="T185" s="1052"/>
      <c r="U185" s="1052"/>
      <c r="V185" s="1052"/>
      <c r="W185" s="1052"/>
      <c r="X185" s="1052"/>
    </row>
    <row r="186" spans="1:24" ht="12" customHeight="1">
      <c r="A186" s="993" t="s">
        <v>1190</v>
      </c>
      <c r="B186" s="1053">
        <v>1644133094</v>
      </c>
      <c r="C186" s="1059"/>
      <c r="D186" s="1053">
        <v>60527461.847000003</v>
      </c>
      <c r="E186" s="1059"/>
      <c r="F186" s="1053">
        <v>676103593</v>
      </c>
      <c r="G186" s="1059"/>
      <c r="H186" s="1053">
        <v>15550383</v>
      </c>
      <c r="I186" s="1059"/>
      <c r="J186" s="1053">
        <v>0</v>
      </c>
      <c r="K186" s="1059"/>
      <c r="L186" s="1053">
        <v>0</v>
      </c>
      <c r="M186" s="1059"/>
      <c r="N186" s="1053">
        <v>969397157</v>
      </c>
      <c r="O186" s="1059"/>
      <c r="P186" s="1055">
        <v>11619031.319999998</v>
      </c>
      <c r="Q186" s="1052"/>
      <c r="R186" s="1052"/>
      <c r="S186" s="1052"/>
      <c r="T186" s="1052"/>
      <c r="U186" s="1052"/>
      <c r="V186" s="1052"/>
      <c r="W186" s="1052"/>
      <c r="X186" s="1052"/>
    </row>
    <row r="187" spans="1:24" ht="8.25" customHeight="1">
      <c r="B187" s="1053"/>
      <c r="C187" s="1059"/>
      <c r="D187" s="1053"/>
      <c r="E187" s="1059"/>
      <c r="F187" s="1053"/>
      <c r="G187" s="1059"/>
      <c r="H187" s="1053"/>
      <c r="I187" s="1059"/>
      <c r="J187" s="1053"/>
      <c r="K187" s="1059"/>
      <c r="L187" s="1053"/>
      <c r="M187" s="1059"/>
      <c r="N187" s="1053"/>
      <c r="O187" s="1059"/>
      <c r="P187" s="1055"/>
      <c r="Q187" s="1052"/>
      <c r="R187" s="1052"/>
      <c r="S187" s="1052"/>
      <c r="T187" s="1052"/>
      <c r="U187" s="1052"/>
      <c r="V187" s="1052"/>
      <c r="W187" s="1052"/>
      <c r="X187" s="1052"/>
    </row>
    <row r="188" spans="1:24" ht="12" customHeight="1">
      <c r="A188" s="993" t="s">
        <v>27</v>
      </c>
      <c r="B188" s="1053">
        <v>942833369</v>
      </c>
      <c r="C188" s="1054"/>
      <c r="D188" s="1053">
        <v>31727371.605</v>
      </c>
      <c r="E188" s="1054"/>
      <c r="F188" s="1053">
        <v>106574029</v>
      </c>
      <c r="G188" s="1054"/>
      <c r="H188" s="1053">
        <v>3676804.0005000001</v>
      </c>
      <c r="I188" s="1054"/>
      <c r="J188" s="1053">
        <v>0</v>
      </c>
      <c r="K188" s="1054"/>
      <c r="L188" s="1053">
        <v>0</v>
      </c>
      <c r="M188" s="1054"/>
      <c r="N188" s="1053">
        <v>473460193</v>
      </c>
      <c r="O188" s="1054"/>
      <c r="P188" s="1055">
        <v>5823703.0296999998</v>
      </c>
      <c r="Q188" s="1052"/>
      <c r="R188" s="1052"/>
      <c r="S188" s="1052"/>
      <c r="T188" s="1052"/>
      <c r="U188" s="1052"/>
      <c r="V188" s="1052"/>
      <c r="W188" s="1052"/>
      <c r="X188" s="1052"/>
    </row>
    <row r="189" spans="1:24" ht="12" customHeight="1">
      <c r="A189" s="993" t="s">
        <v>193</v>
      </c>
      <c r="B189" s="1053">
        <v>378252858</v>
      </c>
      <c r="C189" s="1054"/>
      <c r="D189" s="1053">
        <v>12275017.130799998</v>
      </c>
      <c r="E189" s="1054"/>
      <c r="F189" s="1053">
        <v>97126932</v>
      </c>
      <c r="G189" s="1054"/>
      <c r="H189" s="1053">
        <v>3108061.82</v>
      </c>
      <c r="I189" s="1054"/>
      <c r="J189" s="1053">
        <v>0</v>
      </c>
      <c r="K189" s="1054"/>
      <c r="L189" s="1053">
        <v>0</v>
      </c>
      <c r="M189" s="1054"/>
      <c r="N189" s="1053">
        <v>60840085</v>
      </c>
      <c r="O189" s="1054"/>
      <c r="P189" s="1055">
        <v>718222.8406</v>
      </c>
      <c r="Q189" s="1052"/>
      <c r="R189" s="1052"/>
      <c r="S189" s="1052"/>
      <c r="T189" s="1052"/>
      <c r="U189" s="1052"/>
      <c r="V189" s="1052"/>
      <c r="W189" s="1052"/>
      <c r="X189" s="1052"/>
    </row>
    <row r="190" spans="1:24" ht="12" customHeight="1">
      <c r="A190" s="993" t="s">
        <v>194</v>
      </c>
      <c r="B190" s="1053">
        <v>274750284</v>
      </c>
      <c r="C190" s="1054"/>
      <c r="D190" s="1053">
        <v>7929300.7599999998</v>
      </c>
      <c r="E190" s="1054"/>
      <c r="F190" s="1053">
        <v>38573247</v>
      </c>
      <c r="G190" s="1054"/>
      <c r="H190" s="1053">
        <v>478308.25</v>
      </c>
      <c r="I190" s="1054"/>
      <c r="J190" s="1053">
        <v>0</v>
      </c>
      <c r="K190" s="1054"/>
      <c r="L190" s="1053">
        <v>0</v>
      </c>
      <c r="M190" s="1054"/>
      <c r="N190" s="1053">
        <v>100413441</v>
      </c>
      <c r="O190" s="1054"/>
      <c r="P190" s="1055">
        <v>956323.37</v>
      </c>
      <c r="Q190" s="1052"/>
      <c r="R190" s="1052"/>
      <c r="S190" s="1052"/>
      <c r="T190" s="1052"/>
      <c r="U190" s="1052"/>
      <c r="V190" s="1052"/>
      <c r="W190" s="1052"/>
      <c r="X190" s="1052"/>
    </row>
    <row r="191" spans="1:24" ht="12" customHeight="1">
      <c r="A191" s="993" t="s">
        <v>195</v>
      </c>
      <c r="B191" s="1053">
        <v>1101646200</v>
      </c>
      <c r="C191" s="1059"/>
      <c r="D191" s="1053">
        <v>45394893.800000004</v>
      </c>
      <c r="E191" s="1059"/>
      <c r="F191" s="1053">
        <v>77115800</v>
      </c>
      <c r="G191" s="1059"/>
      <c r="H191" s="1053">
        <v>2429147.7000000002</v>
      </c>
      <c r="I191" s="1059"/>
      <c r="J191" s="1053">
        <v>0</v>
      </c>
      <c r="K191" s="1059"/>
      <c r="L191" s="1053">
        <v>0</v>
      </c>
      <c r="M191" s="1059"/>
      <c r="N191" s="1053">
        <v>413763467</v>
      </c>
      <c r="O191" s="1059"/>
      <c r="P191" s="1055">
        <v>4598792.7333000004</v>
      </c>
      <c r="Q191" s="1052"/>
      <c r="R191" s="1052"/>
      <c r="S191" s="1052"/>
      <c r="T191" s="1052"/>
      <c r="U191" s="1052"/>
      <c r="V191" s="1052"/>
      <c r="W191" s="1052"/>
      <c r="X191" s="1052"/>
    </row>
    <row r="192" spans="1:24" ht="12" customHeight="1">
      <c r="A192" s="993" t="s">
        <v>697</v>
      </c>
      <c r="B192" s="1053">
        <v>4564438531</v>
      </c>
      <c r="C192" s="1059"/>
      <c r="D192" s="1053">
        <v>171690392.98304999</v>
      </c>
      <c r="E192" s="1059"/>
      <c r="F192" s="1053">
        <v>221880258</v>
      </c>
      <c r="G192" s="1059"/>
      <c r="H192" s="1053">
        <v>488136.56759999995</v>
      </c>
      <c r="I192" s="1059"/>
      <c r="J192" s="1053">
        <v>0</v>
      </c>
      <c r="K192" s="1059"/>
      <c r="L192" s="1053">
        <v>0</v>
      </c>
      <c r="M192" s="1059"/>
      <c r="N192" s="1053">
        <v>1965274152</v>
      </c>
      <c r="O192" s="1059"/>
      <c r="P192" s="1055">
        <v>9951836.1999999993</v>
      </c>
      <c r="Q192" s="1052"/>
      <c r="R192" s="1052"/>
      <c r="S192" s="1052"/>
      <c r="T192" s="1052"/>
      <c r="U192" s="1052"/>
      <c r="V192" s="1052"/>
      <c r="W192" s="1052"/>
      <c r="X192" s="1052"/>
    </row>
    <row r="193" spans="1:24" ht="8.25" customHeight="1">
      <c r="B193" s="1053"/>
      <c r="C193" s="1059"/>
      <c r="D193" s="1053"/>
      <c r="E193" s="1059"/>
      <c r="F193" s="1053"/>
      <c r="G193" s="1059"/>
      <c r="H193" s="1053"/>
      <c r="I193" s="1059"/>
      <c r="J193" s="1053"/>
      <c r="K193" s="1059"/>
      <c r="L193" s="1053"/>
      <c r="M193" s="1059"/>
      <c r="N193" s="1053"/>
      <c r="O193" s="1059"/>
      <c r="P193" s="1055"/>
      <c r="Q193" s="1052"/>
      <c r="R193" s="1052"/>
      <c r="S193" s="1052"/>
      <c r="T193" s="1052"/>
      <c r="U193" s="1052"/>
      <c r="V193" s="1052"/>
      <c r="W193" s="1052"/>
      <c r="X193" s="1052"/>
    </row>
    <row r="194" spans="1:24" ht="12" customHeight="1">
      <c r="A194" s="993" t="s">
        <v>197</v>
      </c>
      <c r="B194" s="1053">
        <v>208249206</v>
      </c>
      <c r="C194" s="1059"/>
      <c r="D194" s="1053">
        <v>6751046.5899999999</v>
      </c>
      <c r="E194" s="1059"/>
      <c r="F194" s="1053">
        <v>34198240</v>
      </c>
      <c r="G194" s="1059"/>
      <c r="H194" s="1053">
        <v>1111442.8</v>
      </c>
      <c r="I194" s="1059"/>
      <c r="J194" s="1053">
        <v>0</v>
      </c>
      <c r="K194" s="1062"/>
      <c r="L194" s="1053">
        <v>0</v>
      </c>
      <c r="M194" s="1062"/>
      <c r="N194" s="1053">
        <v>113298717</v>
      </c>
      <c r="O194" s="1059"/>
      <c r="P194" s="1055">
        <v>1021157.79</v>
      </c>
      <c r="Q194" s="1052"/>
      <c r="R194" s="1052"/>
      <c r="S194" s="1052"/>
      <c r="T194" s="1052"/>
      <c r="U194" s="1052"/>
      <c r="V194" s="1052"/>
      <c r="W194" s="1052"/>
      <c r="X194" s="1052"/>
    </row>
    <row r="195" spans="1:24" ht="12" customHeight="1">
      <c r="A195" s="993" t="s">
        <v>1066</v>
      </c>
      <c r="B195" s="1053">
        <v>86814014.609999999</v>
      </c>
      <c r="C195" s="1054"/>
      <c r="D195" s="1053">
        <v>3023695.1599999997</v>
      </c>
      <c r="E195" s="1054"/>
      <c r="F195" s="1053">
        <v>35850</v>
      </c>
      <c r="G195" s="1054"/>
      <c r="H195" s="1053">
        <v>1254.75</v>
      </c>
      <c r="I195" s="1054"/>
      <c r="J195" s="1053">
        <v>0</v>
      </c>
      <c r="K195" s="1054"/>
      <c r="L195" s="1053">
        <v>0</v>
      </c>
      <c r="M195" s="1054"/>
      <c r="N195" s="1053">
        <v>54685977</v>
      </c>
      <c r="O195" s="1054"/>
      <c r="P195" s="1055">
        <v>328115.86</v>
      </c>
      <c r="Q195" s="1052"/>
      <c r="R195" s="1052"/>
      <c r="S195" s="1052"/>
      <c r="T195" s="1052"/>
      <c r="U195" s="1052"/>
      <c r="V195" s="1052"/>
      <c r="W195" s="1052"/>
      <c r="X195" s="1052"/>
    </row>
    <row r="196" spans="1:24" ht="12" customHeight="1">
      <c r="A196" s="993" t="s">
        <v>201</v>
      </c>
      <c r="B196" s="1053">
        <v>402706533</v>
      </c>
      <c r="C196" s="1059"/>
      <c r="D196" s="1053">
        <v>16713547</v>
      </c>
      <c r="E196" s="1059"/>
      <c r="F196" s="1053">
        <v>136009904</v>
      </c>
      <c r="G196" s="1059"/>
      <c r="H196" s="1053">
        <v>1768129</v>
      </c>
      <c r="I196" s="1059"/>
      <c r="J196" s="1053">
        <v>0</v>
      </c>
      <c r="K196" s="1062"/>
      <c r="L196" s="1053">
        <v>0</v>
      </c>
      <c r="M196" s="1062"/>
      <c r="N196" s="1053">
        <v>88501933</v>
      </c>
      <c r="O196" s="1059"/>
      <c r="P196" s="1055">
        <v>824727</v>
      </c>
      <c r="Q196" s="1052"/>
      <c r="R196" s="1052"/>
      <c r="S196" s="1052"/>
      <c r="T196" s="1052"/>
      <c r="U196" s="1052"/>
      <c r="V196" s="1052"/>
      <c r="W196" s="1052"/>
      <c r="X196" s="1052"/>
    </row>
    <row r="197" spans="1:24" ht="7.5" customHeight="1">
      <c r="A197" s="1009"/>
      <c r="B197" s="1071"/>
      <c r="C197" s="1009"/>
      <c r="D197" s="1071"/>
      <c r="E197" s="1009"/>
      <c r="F197" s="1071"/>
      <c r="G197" s="1009"/>
      <c r="H197" s="1071"/>
      <c r="I197" s="1009"/>
      <c r="J197" s="1071"/>
      <c r="K197" s="1009"/>
      <c r="L197" s="1071"/>
      <c r="M197" s="1009"/>
      <c r="N197" s="1071"/>
      <c r="O197" s="1009"/>
      <c r="P197" s="1071"/>
      <c r="Q197" s="1072"/>
    </row>
    <row r="198" spans="1:24" s="1034" customFormat="1" ht="12" customHeight="1">
      <c r="A198" s="1073" t="s">
        <v>29</v>
      </c>
      <c r="B198" s="1073">
        <f>SUM(B146:B167,B168:B196)</f>
        <v>22378847066.959999</v>
      </c>
      <c r="C198" s="1073"/>
      <c r="D198" s="1073">
        <f>SUM(D146:D167,D168:D196)</f>
        <v>886713441.56759989</v>
      </c>
      <c r="E198" s="1073"/>
      <c r="F198" s="1073">
        <f>SUM(F146:F167,F168:F196)</f>
        <v>4047912377.3499999</v>
      </c>
      <c r="G198" s="1073"/>
      <c r="H198" s="1073">
        <f>SUM(H146:H167,H168:H196)</f>
        <v>90568119.383274987</v>
      </c>
      <c r="I198" s="1073"/>
      <c r="J198" s="1073">
        <f>SUM(J146:J167,J168:J196)</f>
        <v>0</v>
      </c>
      <c r="K198" s="1073"/>
      <c r="L198" s="1073">
        <f>SUM(L146:L167,L168:L196)</f>
        <v>0</v>
      </c>
      <c r="M198" s="1073"/>
      <c r="N198" s="1073">
        <f>SUM(N146:N167,N168:N196)</f>
        <v>9684024573.0400009</v>
      </c>
      <c r="O198" s="1073"/>
      <c r="P198" s="1073">
        <f>SUM(P146:P167,P168:P196)</f>
        <v>100697658.30438399</v>
      </c>
      <c r="Q198" s="1074"/>
      <c r="R198" s="1068"/>
      <c r="S198" s="1068"/>
      <c r="T198" s="1068"/>
      <c r="U198" s="1068"/>
      <c r="V198" s="1068"/>
      <c r="W198" s="1068"/>
      <c r="X198" s="1068"/>
    </row>
    <row r="199" spans="1:24" s="1034" customFormat="1" ht="12" customHeight="1">
      <c r="A199" s="1073" t="s">
        <v>24</v>
      </c>
      <c r="B199" s="1073">
        <f>B140</f>
        <v>76347804669.240005</v>
      </c>
      <c r="C199" s="1073"/>
      <c r="D199" s="1073">
        <f>D140</f>
        <v>2714246287.5698733</v>
      </c>
      <c r="E199" s="1073"/>
      <c r="F199" s="1073">
        <f>F140</f>
        <v>7519458050.54</v>
      </c>
      <c r="G199" s="1073"/>
      <c r="H199" s="1073">
        <f>H140</f>
        <v>137184477.84852505</v>
      </c>
      <c r="I199" s="1073"/>
      <c r="J199" s="1073">
        <f>J140</f>
        <v>1344289010.71</v>
      </c>
      <c r="K199" s="1073"/>
      <c r="L199" s="1073">
        <f>L140</f>
        <v>14010085.905490002</v>
      </c>
      <c r="M199" s="1073"/>
      <c r="N199" s="1073">
        <f>N140</f>
        <v>39525519269.5</v>
      </c>
      <c r="O199" s="1073"/>
      <c r="P199" s="1073">
        <f>P140</f>
        <v>308631758.55084604</v>
      </c>
      <c r="Q199" s="1074"/>
      <c r="R199" s="1068"/>
      <c r="S199" s="1068"/>
      <c r="T199" s="1068"/>
      <c r="U199" s="1068"/>
      <c r="V199" s="1068"/>
      <c r="W199" s="1068"/>
      <c r="X199" s="1068"/>
    </row>
    <row r="200" spans="1:24" ht="8.25" customHeight="1">
      <c r="A200" s="1009"/>
      <c r="B200" s="1071"/>
      <c r="C200" s="1009"/>
      <c r="D200" s="1071"/>
      <c r="E200" s="1009"/>
      <c r="F200" s="1071"/>
      <c r="G200" s="1009"/>
      <c r="H200" s="1071"/>
      <c r="I200" s="1009"/>
      <c r="J200" s="1071"/>
      <c r="K200" s="1009"/>
      <c r="L200" s="1071"/>
      <c r="M200" s="1009"/>
      <c r="N200" s="1071"/>
      <c r="O200" s="1009"/>
      <c r="P200" s="1071"/>
      <c r="Q200" s="1072"/>
    </row>
    <row r="201" spans="1:24" ht="12.75" customHeight="1">
      <c r="A201" s="1075" t="s">
        <v>30</v>
      </c>
      <c r="B201" s="1073">
        <f>SUM(B198:B200)</f>
        <v>98726651736.200012</v>
      </c>
      <c r="C201" s="1073"/>
      <c r="D201" s="1073">
        <f>SUM(D198:D200)</f>
        <v>3600959729.1374731</v>
      </c>
      <c r="E201" s="1073"/>
      <c r="F201" s="1073">
        <f>SUM(F198:F200)</f>
        <v>11567370427.889999</v>
      </c>
      <c r="G201" s="1073"/>
      <c r="H201" s="1073">
        <f>SUM(H198:H200)</f>
        <v>227752597.23180002</v>
      </c>
      <c r="I201" s="1073"/>
      <c r="J201" s="1073">
        <f>SUM(J198:J200)</f>
        <v>1344289010.71</v>
      </c>
      <c r="K201" s="1073"/>
      <c r="L201" s="1073">
        <f>SUM(L198:L200)</f>
        <v>14010085.905490002</v>
      </c>
      <c r="M201" s="1073"/>
      <c r="N201" s="1073">
        <f>SUM(N198:N200)</f>
        <v>49209543842.540001</v>
      </c>
      <c r="O201" s="1073"/>
      <c r="P201" s="1073">
        <f>SUM(P198:P200)</f>
        <v>409329416.85523003</v>
      </c>
      <c r="Q201" s="1074"/>
      <c r="R201" s="1068"/>
      <c r="S201" s="1068"/>
      <c r="T201" s="1068"/>
      <c r="U201" s="1068"/>
      <c r="V201" s="1068"/>
      <c r="W201" s="1068"/>
      <c r="X201" s="1068"/>
    </row>
    <row r="202" spans="1:24" ht="8.25" customHeight="1">
      <c r="A202" s="1076"/>
      <c r="B202" s="1077"/>
      <c r="C202" s="1077"/>
      <c r="D202" s="1077"/>
      <c r="E202" s="1077"/>
      <c r="F202" s="1077"/>
      <c r="G202" s="1077"/>
      <c r="H202" s="1077"/>
      <c r="I202" s="1077"/>
      <c r="J202" s="1077"/>
      <c r="K202" s="1077"/>
      <c r="L202" s="1077"/>
      <c r="M202" s="1077"/>
      <c r="N202" s="1077"/>
      <c r="O202" s="1077"/>
      <c r="P202" s="1077"/>
      <c r="Q202" s="1078"/>
      <c r="R202" s="1070"/>
      <c r="S202" s="1070"/>
      <c r="T202" s="1070"/>
      <c r="U202" s="1070"/>
      <c r="V202" s="1070"/>
      <c r="W202" s="1070"/>
      <c r="X202" s="1070"/>
    </row>
    <row r="203" spans="1:24" ht="12" customHeight="1">
      <c r="A203" s="1399" t="s">
        <v>1</v>
      </c>
      <c r="B203" s="1399"/>
      <c r="C203" s="1399"/>
      <c r="D203" s="1399"/>
      <c r="E203" s="1399"/>
      <c r="F203" s="1399"/>
      <c r="G203" s="1399"/>
      <c r="H203" s="1399"/>
      <c r="I203" s="1399"/>
      <c r="J203" s="1399"/>
      <c r="K203" s="1399"/>
      <c r="L203" s="1399"/>
      <c r="M203" s="1399"/>
      <c r="N203" s="1399"/>
      <c r="O203" s="1399"/>
      <c r="P203" s="1399"/>
      <c r="Q203" s="1079"/>
      <c r="R203" s="1079"/>
      <c r="S203" s="1079"/>
      <c r="T203" s="1079"/>
      <c r="U203" s="1079"/>
      <c r="V203" s="1079"/>
      <c r="W203" s="1079"/>
      <c r="X203" s="1079"/>
    </row>
    <row r="204" spans="1:24" ht="12" customHeight="1">
      <c r="A204" s="1399" t="s">
        <v>1097</v>
      </c>
      <c r="B204" s="1399"/>
      <c r="C204" s="1399"/>
      <c r="D204" s="1399"/>
      <c r="E204" s="1399"/>
      <c r="F204" s="1399"/>
      <c r="G204" s="1399"/>
      <c r="H204" s="1399"/>
      <c r="I204" s="1399"/>
      <c r="J204" s="1399"/>
      <c r="K204" s="1399"/>
      <c r="L204" s="1399"/>
      <c r="M204" s="1399"/>
      <c r="N204" s="1399"/>
      <c r="O204" s="1399"/>
      <c r="P204" s="1399"/>
      <c r="Q204" s="1079"/>
      <c r="R204" s="1079"/>
      <c r="S204" s="1079"/>
      <c r="T204" s="1079"/>
      <c r="U204" s="1079"/>
      <c r="V204" s="1079"/>
      <c r="W204" s="1079"/>
      <c r="X204" s="1079"/>
    </row>
    <row r="205" spans="1:24" ht="12" customHeight="1">
      <c r="A205" s="1396" t="s">
        <v>1098</v>
      </c>
      <c r="B205" s="1396"/>
      <c r="C205" s="1396"/>
      <c r="D205" s="1396"/>
      <c r="E205" s="1396"/>
      <c r="F205" s="1396"/>
      <c r="G205" s="1396"/>
      <c r="H205" s="1396"/>
      <c r="I205" s="1396"/>
      <c r="J205" s="1396"/>
      <c r="K205" s="1396"/>
      <c r="L205" s="1396"/>
      <c r="M205" s="1396"/>
      <c r="N205" s="1396"/>
      <c r="O205" s="1396"/>
      <c r="P205" s="1396"/>
      <c r="Q205" s="1080"/>
      <c r="R205" s="1080"/>
      <c r="S205" s="1080"/>
      <c r="T205" s="1080"/>
      <c r="U205" s="1080"/>
      <c r="V205" s="1080"/>
      <c r="W205" s="1080"/>
      <c r="X205" s="1080"/>
    </row>
    <row r="206" spans="1:24" ht="12" customHeight="1">
      <c r="A206" s="1396" t="s">
        <v>1099</v>
      </c>
      <c r="B206" s="1396"/>
      <c r="C206" s="1396"/>
      <c r="D206" s="1396"/>
      <c r="E206" s="1396"/>
      <c r="F206" s="1396"/>
      <c r="G206" s="1396"/>
      <c r="H206" s="1396"/>
      <c r="I206" s="1396"/>
      <c r="J206" s="1396"/>
      <c r="K206" s="1396"/>
      <c r="L206" s="1396"/>
      <c r="M206" s="1396"/>
      <c r="N206" s="1396"/>
      <c r="O206" s="1396"/>
      <c r="P206" s="1396"/>
      <c r="Q206" s="1080"/>
      <c r="R206" s="1080"/>
      <c r="S206" s="1080"/>
      <c r="T206" s="1080"/>
      <c r="U206" s="1080"/>
      <c r="V206" s="1080"/>
      <c r="W206" s="1080"/>
      <c r="X206" s="1080"/>
    </row>
    <row r="207" spans="1:24" ht="12" customHeight="1">
      <c r="A207" s="1396" t="s">
        <v>1134</v>
      </c>
      <c r="B207" s="1396"/>
      <c r="C207" s="1396"/>
      <c r="D207" s="1396"/>
      <c r="E207" s="1396"/>
      <c r="F207" s="1396"/>
      <c r="G207" s="1396"/>
      <c r="H207" s="1396"/>
      <c r="I207" s="1396"/>
      <c r="J207" s="1396"/>
      <c r="K207" s="1396"/>
      <c r="L207" s="1396"/>
      <c r="M207" s="1396"/>
      <c r="N207" s="1396"/>
      <c r="O207" s="1396"/>
      <c r="P207" s="1396"/>
      <c r="Q207" s="1080"/>
      <c r="R207" s="1080"/>
      <c r="S207" s="1080"/>
      <c r="T207" s="1080"/>
      <c r="U207" s="1080"/>
      <c r="V207" s="1080"/>
      <c r="W207" s="1080"/>
      <c r="X207" s="1080"/>
    </row>
    <row r="208" spans="1:24" ht="12" customHeight="1">
      <c r="A208" s="1396" t="s">
        <v>1100</v>
      </c>
      <c r="B208" s="1396"/>
      <c r="C208" s="1396"/>
      <c r="D208" s="1396"/>
      <c r="E208" s="1396"/>
      <c r="F208" s="1396"/>
      <c r="G208" s="1396"/>
      <c r="H208" s="1396"/>
      <c r="I208" s="1396"/>
      <c r="J208" s="1396"/>
      <c r="K208" s="1396"/>
      <c r="L208" s="1396"/>
      <c r="M208" s="1396"/>
      <c r="N208" s="1396"/>
      <c r="O208" s="1396"/>
      <c r="P208" s="1396"/>
      <c r="Q208" s="1080"/>
      <c r="R208" s="1080"/>
      <c r="S208" s="1080"/>
      <c r="T208" s="1080"/>
      <c r="U208" s="1080"/>
      <c r="V208" s="1080"/>
      <c r="W208" s="1080"/>
      <c r="X208" s="1080"/>
    </row>
    <row r="209" spans="1:24" ht="12" customHeight="1">
      <c r="A209" s="1396" t="s">
        <v>1101</v>
      </c>
      <c r="B209" s="1396"/>
      <c r="C209" s="1396"/>
      <c r="D209" s="1396"/>
      <c r="E209" s="1396"/>
      <c r="F209" s="1396"/>
      <c r="G209" s="1396"/>
      <c r="H209" s="1396"/>
      <c r="I209" s="1396"/>
      <c r="J209" s="1396"/>
      <c r="K209" s="1396"/>
      <c r="L209" s="1396"/>
      <c r="M209" s="1396"/>
      <c r="N209" s="1396"/>
      <c r="O209" s="1396"/>
      <c r="P209" s="1396"/>
      <c r="Q209" s="1080"/>
      <c r="R209" s="1080"/>
      <c r="S209" s="1080"/>
      <c r="T209" s="1080"/>
      <c r="U209" s="1080"/>
      <c r="V209" s="1080"/>
      <c r="W209" s="1080"/>
      <c r="X209" s="1080"/>
    </row>
    <row r="210" spans="1:24" ht="12" customHeight="1">
      <c r="A210" s="1396" t="s">
        <v>1102</v>
      </c>
      <c r="B210" s="1396"/>
      <c r="C210" s="1396"/>
      <c r="D210" s="1396"/>
      <c r="E210" s="1396"/>
      <c r="F210" s="1396"/>
      <c r="G210" s="1396"/>
      <c r="H210" s="1396"/>
      <c r="I210" s="1396"/>
      <c r="J210" s="1396"/>
      <c r="K210" s="1396"/>
      <c r="L210" s="1396"/>
      <c r="M210" s="1396"/>
      <c r="N210" s="1396"/>
      <c r="O210" s="1396"/>
      <c r="P210" s="1396"/>
      <c r="Q210" s="1080"/>
      <c r="R210" s="1080"/>
      <c r="S210" s="1080"/>
      <c r="T210" s="1080"/>
      <c r="U210" s="1080"/>
      <c r="V210" s="1080"/>
      <c r="W210" s="1080"/>
      <c r="X210" s="1080"/>
    </row>
    <row r="211" spans="1:24">
      <c r="A211" s="1009" t="s">
        <v>1103</v>
      </c>
      <c r="B211" s="1215"/>
      <c r="C211" s="1215"/>
      <c r="D211" s="1215"/>
      <c r="E211" s="1215"/>
      <c r="F211" s="1215"/>
      <c r="G211" s="1215"/>
      <c r="H211" s="1215"/>
      <c r="I211" s="1215"/>
      <c r="J211" s="1215"/>
      <c r="K211" s="1215"/>
      <c r="L211" s="1215"/>
      <c r="M211" s="1215"/>
      <c r="N211" s="1215"/>
      <c r="O211" s="1215"/>
      <c r="P211" s="1215"/>
      <c r="Q211" s="1080"/>
      <c r="R211" s="1080"/>
      <c r="S211" s="1080"/>
      <c r="T211" s="1080"/>
      <c r="U211" s="1080"/>
      <c r="V211" s="1080"/>
      <c r="W211" s="1080"/>
      <c r="X211" s="1080"/>
    </row>
    <row r="212" spans="1:24" ht="12" customHeight="1">
      <c r="A212" s="1245" t="s">
        <v>1175</v>
      </c>
      <c r="B212" s="1215"/>
      <c r="C212" s="1215"/>
      <c r="D212" s="1215"/>
      <c r="E212" s="1215"/>
      <c r="F212" s="1215"/>
      <c r="G212" s="1215"/>
      <c r="H212" s="1215"/>
      <c r="I212" s="1215"/>
      <c r="J212" s="1215"/>
      <c r="K212" s="1215"/>
      <c r="L212" s="1215"/>
      <c r="M212" s="1215"/>
      <c r="N212" s="1215"/>
      <c r="O212" s="1215"/>
      <c r="P212" s="1215"/>
      <c r="Q212" s="1080"/>
      <c r="R212" s="1080"/>
      <c r="S212" s="1080"/>
      <c r="T212" s="1080"/>
      <c r="U212" s="1080"/>
      <c r="V212" s="1080"/>
      <c r="W212" s="1080"/>
      <c r="X212" s="1080"/>
    </row>
    <row r="213" spans="1:24">
      <c r="A213" s="1037"/>
      <c r="B213" s="1082"/>
      <c r="C213" s="1082"/>
      <c r="D213" s="1082"/>
      <c r="E213" s="1082"/>
      <c r="F213" s="1082"/>
      <c r="G213" s="1082"/>
      <c r="H213" s="1082"/>
      <c r="I213" s="1082"/>
      <c r="J213" s="1082"/>
      <c r="K213" s="1082"/>
      <c r="L213" s="1082"/>
      <c r="M213" s="1082"/>
      <c r="N213" s="1082"/>
      <c r="O213" s="1082"/>
      <c r="P213" s="1082"/>
      <c r="Q213" s="1072"/>
    </row>
    <row r="214" spans="1:24">
      <c r="A214" s="1081"/>
      <c r="B214" s="1071"/>
      <c r="C214" s="1071"/>
      <c r="D214" s="1071"/>
      <c r="E214" s="1071"/>
      <c r="F214" s="1071"/>
      <c r="G214" s="1071"/>
      <c r="H214" s="1071"/>
      <c r="I214" s="1071"/>
      <c r="J214" s="1071"/>
      <c r="K214" s="1071"/>
      <c r="L214" s="1071"/>
      <c r="M214" s="1071"/>
      <c r="N214" s="1071"/>
      <c r="O214" s="1071"/>
      <c r="P214" s="1071"/>
    </row>
    <row r="215" spans="1:24">
      <c r="A215" s="1081"/>
      <c r="B215" s="1071"/>
      <c r="C215" s="1071"/>
      <c r="D215" s="1071"/>
      <c r="E215" s="1071"/>
      <c r="F215" s="1071"/>
      <c r="G215" s="1071"/>
      <c r="H215" s="1071"/>
      <c r="I215" s="1071"/>
      <c r="J215" s="1071"/>
      <c r="K215" s="1071"/>
      <c r="L215" s="1071"/>
      <c r="M215" s="1071"/>
      <c r="N215" s="1071"/>
      <c r="O215" s="1071"/>
      <c r="P215" s="1071"/>
    </row>
    <row r="216" spans="1:24">
      <c r="A216" s="1081"/>
      <c r="B216" s="1083"/>
      <c r="C216" s="1083"/>
      <c r="D216" s="1083"/>
      <c r="E216" s="1083"/>
      <c r="F216" s="1083"/>
      <c r="G216" s="1083"/>
      <c r="H216" s="1083"/>
      <c r="I216" s="1083"/>
      <c r="J216" s="1083"/>
      <c r="K216" s="1083"/>
      <c r="L216" s="1083"/>
      <c r="M216" s="1083"/>
      <c r="N216" s="1083"/>
      <c r="O216" s="1083"/>
      <c r="P216" s="1083"/>
    </row>
    <row r="217" spans="1:24">
      <c r="C217" s="999"/>
      <c r="E217" s="999"/>
      <c r="G217" s="999"/>
      <c r="I217" s="999"/>
      <c r="K217" s="999"/>
      <c r="M217" s="999"/>
      <c r="O217" s="999"/>
    </row>
    <row r="218" spans="1:24">
      <c r="C218" s="999"/>
      <c r="E218" s="999"/>
      <c r="G218" s="999"/>
      <c r="I218" s="999"/>
      <c r="K218" s="999"/>
      <c r="M218" s="999"/>
      <c r="O218" s="999"/>
    </row>
    <row r="220" spans="1:24">
      <c r="C220" s="999"/>
      <c r="E220" s="999"/>
      <c r="G220" s="999"/>
      <c r="I220" s="999"/>
      <c r="K220" s="999"/>
      <c r="M220" s="999"/>
      <c r="O220" s="999"/>
    </row>
    <row r="221" spans="1:24">
      <c r="C221" s="999"/>
      <c r="E221" s="999"/>
      <c r="G221" s="999"/>
      <c r="I221" s="999"/>
      <c r="K221" s="999"/>
      <c r="M221" s="999"/>
      <c r="O221" s="999"/>
    </row>
    <row r="222" spans="1:24">
      <c r="C222" s="999"/>
      <c r="E222" s="999"/>
      <c r="G222" s="999"/>
      <c r="I222" s="999"/>
      <c r="K222" s="999"/>
      <c r="M222" s="999"/>
      <c r="O222" s="999"/>
    </row>
    <row r="223" spans="1:24">
      <c r="C223" s="999"/>
      <c r="E223" s="999"/>
      <c r="G223" s="999"/>
      <c r="I223" s="999"/>
      <c r="K223" s="999"/>
      <c r="M223" s="999"/>
      <c r="O223" s="999"/>
    </row>
    <row r="224" spans="1:24">
      <c r="C224" s="999"/>
      <c r="E224" s="999"/>
      <c r="G224" s="999"/>
      <c r="I224" s="999"/>
      <c r="K224" s="999"/>
      <c r="M224" s="999"/>
      <c r="O224" s="999"/>
    </row>
    <row r="225" spans="3:15">
      <c r="C225" s="999"/>
      <c r="E225" s="999"/>
      <c r="G225" s="999"/>
      <c r="I225" s="999"/>
      <c r="K225" s="999"/>
      <c r="M225" s="999"/>
      <c r="O225" s="999"/>
    </row>
    <row r="226" spans="3:15">
      <c r="C226" s="999"/>
      <c r="E226" s="999"/>
      <c r="G226" s="999"/>
      <c r="I226" s="999"/>
      <c r="K226" s="999"/>
      <c r="M226" s="999"/>
      <c r="O226" s="999"/>
    </row>
  </sheetData>
  <mergeCells count="32">
    <mergeCell ref="B5:D5"/>
    <mergeCell ref="F5:H5"/>
    <mergeCell ref="J5:L5"/>
    <mergeCell ref="N5:P5"/>
    <mergeCell ref="B47:D47"/>
    <mergeCell ref="F47:H47"/>
    <mergeCell ref="J47:L47"/>
    <mergeCell ref="N47:P47"/>
    <mergeCell ref="B89:D89"/>
    <mergeCell ref="F89:H89"/>
    <mergeCell ref="J89:L89"/>
    <mergeCell ref="N89:P89"/>
    <mergeCell ref="B131:D131"/>
    <mergeCell ref="F131:H131"/>
    <mergeCell ref="J131:L131"/>
    <mergeCell ref="N131:P131"/>
    <mergeCell ref="B143:D143"/>
    <mergeCell ref="F143:H143"/>
    <mergeCell ref="J143:L143"/>
    <mergeCell ref="N143:P143"/>
    <mergeCell ref="B173:D173"/>
    <mergeCell ref="F173:H173"/>
    <mergeCell ref="J173:L173"/>
    <mergeCell ref="N173:P173"/>
    <mergeCell ref="A208:P208"/>
    <mergeCell ref="A209:P209"/>
    <mergeCell ref="A210:P210"/>
    <mergeCell ref="A203:P203"/>
    <mergeCell ref="A204:P204"/>
    <mergeCell ref="A205:P205"/>
    <mergeCell ref="A206:P206"/>
    <mergeCell ref="A207:P207"/>
  </mergeCells>
  <conditionalFormatting sqref="Q1:Q141 R1:X1048576 Q143:Q1048576">
    <cfRule type="cellIs" dxfId="0" priority="1" stopIfTrue="1" operator="notBetween">
      <formula>-0.25</formula>
      <formula>0.25</formula>
    </cfRule>
  </conditionalFormatting>
  <printOptions horizontalCentered="1"/>
  <pageMargins left="0.25" right="0.25" top="0.75" bottom="1.1000000000000001" header="0.3" footer="0.4"/>
  <pageSetup scale="97" fitToHeight="5" orientation="landscape" r:id="rId1"/>
  <rowBreaks count="3" manualBreakCount="3">
    <brk id="42" max="15" man="1"/>
    <brk id="84" max="15" man="1"/>
    <brk id="126"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T112"/>
  <sheetViews>
    <sheetView zoomScaleNormal="100" workbookViewId="0"/>
  </sheetViews>
  <sheetFormatPr defaultColWidth="12.42578125" defaultRowHeight="12.75"/>
  <cols>
    <col min="1" max="1" width="38.42578125" style="14" customWidth="1"/>
    <col min="2" max="3" width="20.140625" style="14" customWidth="1"/>
    <col min="4" max="4" width="6.5703125" style="14" customWidth="1"/>
    <col min="5" max="6" width="12.42578125" style="14" customWidth="1"/>
    <col min="7" max="11" width="13.7109375" style="14" customWidth="1"/>
    <col min="12" max="12" width="7.42578125" style="14" customWidth="1"/>
    <col min="13" max="14" width="13.7109375" style="949" customWidth="1"/>
    <col min="15" max="15" width="19.7109375" style="949" customWidth="1"/>
    <col min="16" max="18" width="17.5703125" style="949" bestFit="1" customWidth="1"/>
    <col min="19" max="19" width="33.7109375" style="949" customWidth="1"/>
    <col min="20" max="20" width="20.85546875" style="949" bestFit="1" customWidth="1"/>
    <col min="21" max="94" width="12.42578125" style="949" customWidth="1"/>
    <col min="95" max="228" width="12.42578125" style="14" customWidth="1"/>
  </cols>
  <sheetData>
    <row r="1" spans="1:226" ht="18">
      <c r="A1" s="837" t="s">
        <v>4</v>
      </c>
      <c r="B1" s="12"/>
      <c r="C1" s="12"/>
      <c r="D1" s="12"/>
      <c r="E1" s="8" t="s">
        <v>1152</v>
      </c>
      <c r="F1" s="13"/>
      <c r="G1" s="12"/>
      <c r="H1" s="12"/>
      <c r="I1" s="12"/>
      <c r="J1" s="12"/>
      <c r="K1" s="12"/>
      <c r="L1" s="12"/>
      <c r="M1" s="948"/>
      <c r="N1" s="948"/>
      <c r="O1" s="948"/>
      <c r="P1" s="948"/>
      <c r="Q1" s="948"/>
      <c r="R1" s="948"/>
      <c r="S1" s="948"/>
      <c r="T1" s="948"/>
      <c r="U1" s="948"/>
      <c r="V1" s="948"/>
      <c r="W1" s="948"/>
      <c r="X1" s="948"/>
      <c r="Y1" s="948"/>
      <c r="Z1" s="948"/>
      <c r="AA1" s="948"/>
      <c r="AB1" s="948"/>
      <c r="AC1" s="948"/>
      <c r="AD1" s="948"/>
      <c r="AE1" s="948"/>
      <c r="AF1" s="948"/>
      <c r="AG1" s="948"/>
      <c r="AH1" s="948"/>
      <c r="AI1" s="948"/>
      <c r="AJ1" s="948"/>
      <c r="AK1" s="948"/>
      <c r="AL1" s="948"/>
      <c r="AM1" s="948"/>
      <c r="AN1" s="948"/>
      <c r="AO1" s="948"/>
      <c r="AP1" s="948"/>
      <c r="AQ1" s="948"/>
      <c r="AR1" s="948"/>
      <c r="AS1" s="948"/>
      <c r="AT1" s="948"/>
      <c r="AU1" s="948"/>
      <c r="AV1" s="948"/>
      <c r="AW1" s="948"/>
      <c r="AX1" s="948"/>
      <c r="AY1" s="948"/>
      <c r="AZ1" s="948"/>
      <c r="BA1" s="948"/>
      <c r="BB1" s="948"/>
      <c r="BC1" s="948"/>
      <c r="BD1" s="948"/>
      <c r="BE1" s="948"/>
      <c r="BF1" s="948"/>
      <c r="BG1" s="948"/>
      <c r="BH1" s="948"/>
      <c r="BI1" s="948"/>
      <c r="BJ1" s="948"/>
      <c r="BK1" s="948"/>
      <c r="BL1" s="948"/>
      <c r="BM1" s="948"/>
      <c r="BN1" s="948"/>
      <c r="BO1" s="948"/>
      <c r="BP1" s="948"/>
      <c r="BQ1" s="948"/>
      <c r="BR1" s="948"/>
      <c r="BS1" s="948"/>
      <c r="BT1" s="948"/>
      <c r="BU1" s="948"/>
      <c r="BV1" s="948"/>
      <c r="BW1" s="948"/>
      <c r="BX1" s="948"/>
      <c r="BY1" s="948"/>
      <c r="BZ1" s="948"/>
      <c r="CA1" s="948"/>
      <c r="CB1" s="948"/>
      <c r="CC1" s="948"/>
      <c r="CD1" s="948"/>
      <c r="CE1" s="948"/>
      <c r="CF1" s="948"/>
      <c r="CG1" s="948"/>
      <c r="CH1" s="948"/>
      <c r="CI1" s="948"/>
      <c r="CJ1" s="948"/>
      <c r="CK1" s="948"/>
      <c r="CL1" s="948"/>
      <c r="CM1" s="948"/>
      <c r="CN1" s="948"/>
      <c r="CO1" s="948"/>
      <c r="CP1" s="948"/>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row>
    <row r="2" spans="1:226" ht="15.75">
      <c r="A2" s="481"/>
      <c r="B2"/>
      <c r="C2"/>
      <c r="D2"/>
      <c r="E2" s="15" t="s">
        <v>334</v>
      </c>
      <c r="F2" s="15"/>
      <c r="G2" s="16"/>
      <c r="H2" s="16"/>
      <c r="I2" s="16"/>
      <c r="J2" s="16"/>
      <c r="K2" s="16"/>
      <c r="L2" s="16"/>
      <c r="M2" s="948"/>
      <c r="N2" s="948"/>
      <c r="O2" s="948"/>
      <c r="P2" s="948"/>
      <c r="U2" s="948"/>
      <c r="V2" s="948"/>
      <c r="W2" s="948"/>
      <c r="X2" s="948"/>
      <c r="Y2" s="948"/>
      <c r="Z2" s="948"/>
      <c r="AA2" s="948"/>
      <c r="AB2" s="948"/>
      <c r="AC2" s="948"/>
      <c r="AD2" s="948"/>
      <c r="AE2" s="948"/>
      <c r="AF2" s="948"/>
      <c r="AG2" s="948"/>
      <c r="AH2" s="948"/>
      <c r="AI2" s="948"/>
      <c r="AJ2" s="948"/>
      <c r="AK2" s="948"/>
      <c r="AL2" s="948"/>
      <c r="AM2" s="948"/>
      <c r="AN2" s="948"/>
      <c r="AO2" s="948"/>
      <c r="AP2" s="948"/>
      <c r="AQ2" s="948"/>
      <c r="AR2" s="948"/>
      <c r="AS2" s="948"/>
      <c r="AT2" s="948"/>
      <c r="AU2" s="948"/>
      <c r="AV2" s="948"/>
      <c r="AW2" s="948"/>
      <c r="AX2" s="948"/>
      <c r="AY2" s="948"/>
      <c r="AZ2" s="948"/>
      <c r="BA2" s="948"/>
      <c r="BB2" s="948"/>
      <c r="BC2" s="948"/>
      <c r="BD2" s="948"/>
      <c r="BE2" s="948"/>
      <c r="BF2" s="948"/>
      <c r="BG2" s="948"/>
      <c r="BH2" s="948"/>
      <c r="BI2" s="948"/>
      <c r="BJ2" s="948"/>
      <c r="BK2" s="948"/>
      <c r="BL2" s="948"/>
      <c r="BM2" s="948"/>
      <c r="BN2" s="948"/>
      <c r="BO2" s="948"/>
      <c r="BP2" s="948"/>
      <c r="BQ2" s="948"/>
      <c r="BR2" s="948"/>
      <c r="BS2" s="948"/>
      <c r="BT2" s="948"/>
      <c r="BU2" s="948"/>
      <c r="BV2" s="948"/>
      <c r="BW2" s="948"/>
      <c r="BX2" s="948"/>
      <c r="BY2" s="948"/>
      <c r="BZ2" s="948"/>
      <c r="CA2" s="948"/>
      <c r="CB2" s="948"/>
      <c r="CC2" s="948"/>
      <c r="CD2" s="948"/>
      <c r="CE2" s="948"/>
      <c r="CF2" s="948"/>
      <c r="CG2" s="948"/>
      <c r="CH2" s="948"/>
      <c r="CI2" s="948"/>
      <c r="CJ2" s="948"/>
      <c r="CK2" s="948"/>
      <c r="CL2" s="948"/>
      <c r="CM2" s="948"/>
      <c r="CN2" s="948"/>
      <c r="CO2" s="948"/>
      <c r="CP2" s="948"/>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row>
    <row r="3" spans="1:226" ht="14.1" customHeight="1">
      <c r="A3"/>
      <c r="B3" s="17" t="s">
        <v>1047</v>
      </c>
      <c r="C3" s="17" t="s">
        <v>1151</v>
      </c>
      <c r="D3"/>
      <c r="E3" s="15" t="s">
        <v>335</v>
      </c>
      <c r="F3" s="934"/>
      <c r="G3" s="16"/>
      <c r="H3" s="16"/>
      <c r="I3" s="16"/>
      <c r="J3" s="16"/>
      <c r="K3" s="16"/>
      <c r="L3" s="16"/>
      <c r="M3" s="948"/>
      <c r="N3" s="948"/>
      <c r="O3" s="948"/>
      <c r="P3" s="948"/>
      <c r="U3" s="948"/>
      <c r="V3" s="948"/>
      <c r="W3" s="948"/>
      <c r="X3" s="948"/>
      <c r="Y3" s="948"/>
      <c r="Z3" s="948"/>
      <c r="AA3" s="948"/>
      <c r="AB3" s="948"/>
      <c r="AC3" s="948"/>
      <c r="AD3" s="948"/>
      <c r="AE3" s="948"/>
      <c r="AF3" s="948"/>
      <c r="AG3" s="948"/>
      <c r="AH3" s="948"/>
      <c r="AI3" s="948"/>
      <c r="AJ3" s="948"/>
      <c r="AK3" s="948"/>
      <c r="AL3" s="948"/>
      <c r="AM3" s="948"/>
      <c r="AN3" s="948"/>
      <c r="AO3" s="948"/>
      <c r="AP3" s="948"/>
      <c r="AQ3" s="948"/>
      <c r="AR3" s="948"/>
      <c r="AS3" s="948"/>
      <c r="AT3" s="948"/>
      <c r="AU3" s="948"/>
      <c r="AV3" s="948"/>
      <c r="AW3" s="948"/>
      <c r="AX3" s="948"/>
      <c r="AY3" s="948"/>
      <c r="AZ3" s="948"/>
      <c r="BA3" s="948"/>
      <c r="BB3" s="948"/>
      <c r="BC3" s="948"/>
      <c r="BD3" s="948"/>
      <c r="BE3" s="948"/>
      <c r="BF3" s="948"/>
      <c r="BG3" s="948"/>
      <c r="BH3" s="948"/>
      <c r="BI3" s="948"/>
      <c r="BJ3" s="948"/>
      <c r="BK3" s="948"/>
      <c r="BL3" s="948"/>
      <c r="BM3" s="948"/>
      <c r="BN3" s="948"/>
      <c r="BO3" s="948"/>
      <c r="BP3" s="948"/>
      <c r="BQ3" s="948"/>
      <c r="BR3" s="948"/>
      <c r="BS3" s="948"/>
      <c r="BT3" s="948"/>
      <c r="BU3" s="948"/>
      <c r="BV3" s="948"/>
      <c r="BW3" s="948"/>
      <c r="BX3" s="948"/>
      <c r="BY3" s="948"/>
      <c r="BZ3" s="948"/>
      <c r="CA3" s="948"/>
      <c r="CB3" s="948"/>
      <c r="CC3" s="948"/>
      <c r="CD3" s="948"/>
      <c r="CE3" s="948"/>
      <c r="CF3" s="948"/>
      <c r="CG3" s="948"/>
      <c r="CH3" s="948"/>
      <c r="CI3" s="948"/>
      <c r="CJ3" s="948"/>
      <c r="CK3" s="948"/>
      <c r="CL3" s="948"/>
      <c r="CM3" s="948"/>
      <c r="CN3" s="948"/>
      <c r="CO3" s="948"/>
      <c r="CP3" s="948"/>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row>
    <row r="4" spans="1:226" ht="9.75" customHeight="1">
      <c r="A4"/>
      <c r="B4"/>
      <c r="C4"/>
      <c r="D4"/>
      <c r="E4" s="18"/>
      <c r="F4" s="935"/>
      <c r="G4" s="16"/>
      <c r="H4" s="16"/>
      <c r="I4" s="16"/>
      <c r="J4" s="16"/>
      <c r="K4" s="16"/>
      <c r="L4" s="16"/>
      <c r="M4" s="948"/>
      <c r="N4" s="948"/>
      <c r="O4" s="948"/>
      <c r="P4" s="948"/>
      <c r="Q4" s="948"/>
      <c r="R4" s="948"/>
      <c r="S4" s="948"/>
      <c r="T4" s="948"/>
      <c r="U4" s="948"/>
      <c r="V4" s="948"/>
      <c r="W4" s="948"/>
      <c r="X4" s="948"/>
      <c r="Y4" s="948"/>
      <c r="Z4" s="948"/>
      <c r="AA4" s="948"/>
      <c r="AB4" s="948"/>
      <c r="AC4" s="948"/>
      <c r="AD4" s="948"/>
      <c r="AE4" s="948"/>
      <c r="AF4" s="948"/>
      <c r="AG4" s="948"/>
      <c r="AH4" s="948"/>
      <c r="AI4" s="948"/>
      <c r="AJ4" s="948"/>
      <c r="AK4" s="948"/>
      <c r="AL4" s="948"/>
      <c r="AM4" s="948"/>
      <c r="AN4" s="948"/>
      <c r="AO4" s="948"/>
      <c r="AP4" s="948"/>
      <c r="AQ4" s="948"/>
      <c r="AR4" s="948"/>
      <c r="AS4" s="948"/>
      <c r="AT4" s="948"/>
      <c r="AU4" s="948"/>
      <c r="AV4" s="948"/>
      <c r="AW4" s="948"/>
      <c r="AX4" s="948"/>
      <c r="AY4" s="948"/>
      <c r="AZ4" s="948"/>
      <c r="BA4" s="948"/>
      <c r="BB4" s="948"/>
      <c r="BC4" s="948"/>
      <c r="BD4" s="948"/>
      <c r="BE4" s="948"/>
      <c r="BF4" s="948"/>
      <c r="BG4" s="948"/>
      <c r="BH4" s="948"/>
      <c r="BI4" s="948"/>
      <c r="BJ4" s="948"/>
      <c r="BK4" s="948"/>
      <c r="BL4" s="948"/>
      <c r="BM4" s="948"/>
      <c r="BN4" s="948"/>
      <c r="BO4" s="948"/>
      <c r="BP4" s="948"/>
      <c r="BQ4" s="948"/>
      <c r="BR4" s="948"/>
      <c r="BS4" s="948"/>
      <c r="BT4" s="948"/>
      <c r="BU4" s="948"/>
      <c r="BV4" s="948"/>
      <c r="BW4" s="948"/>
      <c r="BX4" s="948"/>
      <c r="BY4" s="948"/>
      <c r="BZ4" s="948"/>
      <c r="CA4" s="948"/>
      <c r="CB4" s="948"/>
      <c r="CC4" s="948"/>
      <c r="CD4" s="948"/>
      <c r="CE4" s="948"/>
      <c r="CF4" s="948"/>
      <c r="CG4" s="948"/>
      <c r="CH4" s="948"/>
      <c r="CI4" s="948"/>
      <c r="CJ4" s="948"/>
      <c r="CK4" s="948"/>
      <c r="CL4" s="948"/>
      <c r="CM4" s="948"/>
      <c r="CN4" s="948"/>
      <c r="CO4" s="948"/>
      <c r="CP4" s="948"/>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row>
    <row r="5" spans="1:226" ht="15.75">
      <c r="A5" s="19" t="s">
        <v>1003</v>
      </c>
      <c r="B5"/>
      <c r="C5"/>
      <c r="D5"/>
      <c r="E5" s="11"/>
      <c r="F5" s="1191"/>
      <c r="G5" s="12"/>
      <c r="H5" s="12"/>
      <c r="I5" s="12"/>
      <c r="J5" s="12"/>
      <c r="K5" s="12"/>
      <c r="L5" s="12"/>
      <c r="M5" s="948"/>
      <c r="Q5" s="948"/>
      <c r="R5" s="948"/>
      <c r="S5" s="948"/>
      <c r="T5" s="948"/>
      <c r="U5" s="948"/>
      <c r="V5" s="948"/>
      <c r="W5" s="948"/>
      <c r="X5" s="948"/>
      <c r="Y5" s="948"/>
      <c r="Z5" s="948"/>
      <c r="AA5" s="948"/>
      <c r="AB5" s="948"/>
      <c r="AC5" s="948"/>
      <c r="AD5" s="948"/>
      <c r="AE5" s="948"/>
      <c r="AF5" s="948"/>
      <c r="AG5" s="948"/>
      <c r="AH5" s="948"/>
      <c r="AI5" s="948"/>
      <c r="AJ5" s="948"/>
      <c r="AK5" s="948"/>
      <c r="AL5" s="948"/>
      <c r="AM5" s="948"/>
      <c r="AN5" s="948"/>
      <c r="AO5" s="948"/>
      <c r="AP5" s="948"/>
      <c r="AQ5" s="948"/>
      <c r="AR5" s="948"/>
      <c r="AS5" s="948"/>
      <c r="AT5" s="948"/>
      <c r="AU5" s="948"/>
      <c r="AV5" s="948"/>
      <c r="AW5" s="948"/>
      <c r="AX5" s="948"/>
      <c r="AY5" s="948"/>
      <c r="AZ5" s="948"/>
      <c r="BA5" s="948"/>
      <c r="BB5" s="948"/>
      <c r="BC5" s="948"/>
      <c r="BD5" s="948"/>
      <c r="BE5" s="948"/>
      <c r="BF5" s="948"/>
      <c r="BG5" s="948"/>
      <c r="BH5" s="948"/>
      <c r="BI5" s="948"/>
      <c r="BJ5" s="948"/>
      <c r="BK5" s="948"/>
      <c r="BL5" s="948"/>
      <c r="BM5" s="948"/>
      <c r="BN5" s="948"/>
      <c r="BO5" s="948"/>
      <c r="BP5" s="948"/>
      <c r="BQ5" s="948"/>
      <c r="BR5" s="948"/>
      <c r="BS5" s="948"/>
      <c r="BT5" s="948"/>
      <c r="BU5" s="948"/>
      <c r="BV5" s="948"/>
      <c r="BW5" s="948"/>
      <c r="BX5" s="948"/>
      <c r="BY5" s="948"/>
      <c r="BZ5" s="948"/>
      <c r="CA5" s="948"/>
      <c r="CB5" s="948"/>
      <c r="CC5" s="948"/>
      <c r="CD5" s="948"/>
      <c r="CE5" s="948"/>
      <c r="CF5" s="948"/>
      <c r="CG5" s="948"/>
      <c r="CH5" s="948"/>
      <c r="CI5" s="948"/>
      <c r="CJ5" s="948"/>
      <c r="CK5" s="948"/>
      <c r="CL5" s="948"/>
      <c r="CM5" s="948"/>
      <c r="CN5" s="948"/>
      <c r="CO5" s="948"/>
      <c r="CP5" s="948"/>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row>
    <row r="6" spans="1:226" ht="15">
      <c r="A6" t="s">
        <v>5</v>
      </c>
      <c r="B6" s="20">
        <v>21467094000</v>
      </c>
      <c r="C6" s="444">
        <f>ROUND(21903570859.4,-3)</f>
        <v>21903571000</v>
      </c>
      <c r="D6" s="444"/>
      <c r="E6" s="881">
        <f>C6/B6-1</f>
        <v>2.0332374749931326E-2</v>
      </c>
      <c r="F6" s="1192"/>
      <c r="G6" s="21"/>
      <c r="H6" s="21"/>
      <c r="I6" s="21"/>
      <c r="J6" s="21"/>
      <c r="K6" s="21"/>
      <c r="L6" s="21"/>
      <c r="M6" s="948"/>
      <c r="N6" s="948"/>
      <c r="O6" s="948"/>
      <c r="P6" s="948"/>
      <c r="Q6" s="950"/>
      <c r="S6" s="938"/>
      <c r="T6" s="951"/>
      <c r="U6" s="948"/>
      <c r="V6" s="948"/>
      <c r="W6" s="948"/>
      <c r="X6" s="948"/>
      <c r="Y6" s="948"/>
      <c r="Z6" s="948"/>
      <c r="AA6" s="948"/>
      <c r="AB6" s="948"/>
      <c r="AC6" s="948"/>
      <c r="AD6" s="948"/>
      <c r="AE6" s="948"/>
      <c r="AF6" s="948"/>
      <c r="AG6" s="948"/>
      <c r="AH6" s="948"/>
      <c r="AI6" s="948"/>
      <c r="AJ6" s="948"/>
      <c r="AK6" s="948"/>
      <c r="AL6" s="948"/>
      <c r="AM6" s="948"/>
      <c r="AN6" s="948"/>
      <c r="AO6" s="948"/>
      <c r="AP6" s="948"/>
      <c r="AQ6" s="948"/>
      <c r="AR6" s="948"/>
      <c r="AS6" s="948"/>
      <c r="AT6" s="948"/>
      <c r="AU6" s="948"/>
      <c r="AV6" s="948"/>
      <c r="AW6" s="948"/>
      <c r="AX6" s="948"/>
      <c r="AY6" s="948"/>
      <c r="AZ6" s="948"/>
      <c r="BA6" s="948"/>
      <c r="BB6" s="948"/>
      <c r="BC6" s="948"/>
      <c r="BD6" s="948"/>
      <c r="BE6" s="948"/>
      <c r="BF6" s="948"/>
      <c r="BG6" s="948"/>
      <c r="BH6" s="948"/>
      <c r="BI6" s="948"/>
      <c r="BJ6" s="948"/>
      <c r="BK6" s="948"/>
      <c r="BL6" s="948"/>
      <c r="BM6" s="948"/>
      <c r="BN6" s="948"/>
      <c r="BO6" s="948"/>
      <c r="BP6" s="948"/>
      <c r="BQ6" s="948"/>
      <c r="BR6" s="948"/>
      <c r="BS6" s="948"/>
      <c r="BT6" s="948"/>
      <c r="BU6" s="948"/>
      <c r="BV6" s="948"/>
      <c r="BW6" s="948"/>
      <c r="BX6" s="948"/>
      <c r="BY6" s="948"/>
      <c r="BZ6" s="948"/>
      <c r="CA6" s="948"/>
      <c r="CB6" s="948"/>
      <c r="CC6" s="948"/>
      <c r="CD6" s="948"/>
      <c r="CE6" s="948"/>
      <c r="CF6" s="948"/>
      <c r="CG6" s="948"/>
      <c r="CH6" s="948"/>
      <c r="CI6" s="948"/>
      <c r="CJ6" s="948"/>
      <c r="CK6" s="948"/>
      <c r="CL6" s="948"/>
      <c r="CM6" s="948"/>
      <c r="CN6" s="948"/>
      <c r="CO6" s="948"/>
      <c r="CP6" s="948"/>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row>
    <row r="7" spans="1:226" ht="15">
      <c r="A7" s="484" t="s">
        <v>887</v>
      </c>
      <c r="B7" s="23">
        <v>29225445000</v>
      </c>
      <c r="C7" s="445">
        <f>ROUND(C8-C6,-3)</f>
        <v>39119583000</v>
      </c>
      <c r="D7" s="445"/>
      <c r="E7" s="1210">
        <f>C7/B7-1</f>
        <v>0.33854533267158127</v>
      </c>
      <c r="F7" s="1193"/>
      <c r="G7" s="21"/>
      <c r="H7" s="21"/>
      <c r="I7" s="21"/>
      <c r="J7" s="21"/>
      <c r="K7" s="21"/>
      <c r="L7" s="21"/>
      <c r="M7" s="948"/>
      <c r="N7" s="948"/>
      <c r="O7" s="948"/>
      <c r="P7" s="948"/>
      <c r="Q7" s="952"/>
      <c r="S7" s="953"/>
      <c r="T7" s="951"/>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8"/>
      <c r="BH7" s="948"/>
      <c r="BI7" s="948"/>
      <c r="BJ7" s="948"/>
      <c r="BK7" s="948"/>
      <c r="BL7" s="948"/>
      <c r="BM7" s="948"/>
      <c r="BN7" s="948"/>
      <c r="BO7" s="948"/>
      <c r="BP7" s="948"/>
      <c r="BQ7" s="948"/>
      <c r="BR7" s="948"/>
      <c r="BS7" s="948"/>
      <c r="BT7" s="948"/>
      <c r="BU7" s="948"/>
      <c r="BV7" s="948"/>
      <c r="BW7" s="948"/>
      <c r="BX7" s="948"/>
      <c r="BY7" s="948"/>
      <c r="BZ7" s="948"/>
      <c r="CA7" s="948"/>
      <c r="CB7" s="948"/>
      <c r="CC7" s="948"/>
      <c r="CD7" s="948"/>
      <c r="CE7" s="948"/>
      <c r="CF7" s="948"/>
      <c r="CG7" s="948"/>
      <c r="CH7" s="948"/>
      <c r="CI7" s="948"/>
      <c r="CJ7" s="948"/>
      <c r="CK7" s="948"/>
      <c r="CL7" s="948"/>
      <c r="CM7" s="948"/>
      <c r="CN7" s="948"/>
      <c r="CO7" s="948"/>
      <c r="CP7" s="948"/>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row>
    <row r="8" spans="1:226" ht="18" customHeight="1" thickBot="1">
      <c r="A8" s="24" t="s">
        <v>6</v>
      </c>
      <c r="B8" s="25">
        <v>50692539000</v>
      </c>
      <c r="C8" s="446">
        <f>ROUND(61023154415.69,-3)</f>
        <v>61023154000</v>
      </c>
      <c r="D8" s="883"/>
      <c r="E8" s="1211">
        <f>C8/B8-1</f>
        <v>0.20378965433157736</v>
      </c>
      <c r="F8" s="1193"/>
      <c r="G8" s="21"/>
      <c r="H8" s="21"/>
      <c r="I8" s="21"/>
      <c r="J8" s="21"/>
      <c r="K8" s="21"/>
      <c r="L8" s="21"/>
      <c r="M8" s="948"/>
      <c r="N8" s="948"/>
      <c r="O8" s="948"/>
      <c r="P8" s="948"/>
      <c r="Q8" s="948"/>
      <c r="R8" s="948"/>
      <c r="S8" s="938"/>
      <c r="T8" s="954"/>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948"/>
      <c r="BX8" s="948"/>
      <c r="BY8" s="948"/>
      <c r="BZ8" s="948"/>
      <c r="CA8" s="948"/>
      <c r="CB8" s="948"/>
      <c r="CC8" s="948"/>
      <c r="CD8" s="948"/>
      <c r="CE8" s="948"/>
      <c r="CF8" s="948"/>
      <c r="CG8" s="948"/>
      <c r="CH8" s="948"/>
      <c r="CI8" s="948"/>
      <c r="CJ8" s="948"/>
      <c r="CK8" s="948"/>
      <c r="CL8" s="948"/>
      <c r="CM8" s="948"/>
      <c r="CN8" s="948"/>
      <c r="CO8" s="948"/>
      <c r="CP8" s="948"/>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row>
    <row r="9" spans="1:226" ht="15.75" thickTop="1">
      <c r="A9" s="22"/>
      <c r="B9" s="26"/>
      <c r="C9" s="885"/>
      <c r="D9" s="885"/>
      <c r="E9" s="886"/>
      <c r="F9" s="1193"/>
      <c r="G9" s="27"/>
      <c r="H9" s="27"/>
      <c r="I9" s="27"/>
      <c r="J9" s="27"/>
      <c r="K9" s="27"/>
      <c r="L9" s="27"/>
      <c r="M9" s="948"/>
      <c r="N9" s="948"/>
      <c r="O9" s="948"/>
      <c r="P9" s="948"/>
      <c r="Q9" s="948"/>
      <c r="R9" s="948"/>
      <c r="S9" s="953"/>
      <c r="T9" s="955"/>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8"/>
      <c r="AY9" s="948"/>
      <c r="AZ9" s="948"/>
      <c r="BA9" s="948"/>
      <c r="BB9" s="948"/>
      <c r="BC9" s="948"/>
      <c r="BD9" s="948"/>
      <c r="BE9" s="948"/>
      <c r="BF9" s="948"/>
      <c r="BG9" s="948"/>
      <c r="BH9" s="948"/>
      <c r="BI9" s="948"/>
      <c r="BJ9" s="948"/>
      <c r="BK9" s="948"/>
      <c r="BL9" s="948"/>
      <c r="BM9" s="948"/>
      <c r="BN9" s="948"/>
      <c r="BO9" s="948"/>
      <c r="BP9" s="948"/>
      <c r="BQ9" s="948"/>
      <c r="BR9" s="948"/>
      <c r="BS9" s="948"/>
      <c r="BT9" s="948"/>
      <c r="BU9" s="948"/>
      <c r="BV9" s="948"/>
      <c r="BW9" s="948"/>
      <c r="BX9" s="948"/>
      <c r="BY9" s="948"/>
      <c r="BZ9" s="948"/>
      <c r="CA9" s="948"/>
      <c r="CB9" s="948"/>
      <c r="CC9" s="948"/>
      <c r="CD9" s="948"/>
      <c r="CE9" s="948"/>
      <c r="CF9" s="948"/>
      <c r="CG9" s="948"/>
      <c r="CH9" s="948"/>
      <c r="CI9" s="948"/>
      <c r="CJ9" s="948"/>
      <c r="CK9" s="948"/>
      <c r="CL9" s="948"/>
      <c r="CM9" s="948"/>
      <c r="CN9" s="948"/>
      <c r="CO9" s="948"/>
      <c r="CP9" s="948"/>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row>
    <row r="10" spans="1:226" ht="15.75">
      <c r="A10" s="19" t="s">
        <v>1004</v>
      </c>
      <c r="B10" s="20"/>
      <c r="C10" s="444"/>
      <c r="D10" s="444"/>
      <c r="E10" s="881"/>
      <c r="F10" s="1260"/>
      <c r="G10" s="27"/>
      <c r="H10" s="27"/>
      <c r="I10" s="27"/>
      <c r="J10" s="27"/>
      <c r="K10" s="27"/>
      <c r="L10" s="27"/>
      <c r="M10" s="948"/>
      <c r="N10" s="948"/>
      <c r="O10" s="948"/>
      <c r="P10" s="948"/>
      <c r="Q10" s="948"/>
      <c r="R10" s="948"/>
      <c r="S10" s="948"/>
      <c r="T10" s="948"/>
      <c r="U10" s="948"/>
      <c r="V10" s="948"/>
      <c r="W10" s="948"/>
      <c r="X10" s="948"/>
      <c r="Y10" s="948"/>
      <c r="Z10" s="948"/>
      <c r="AA10" s="948"/>
      <c r="AB10" s="948"/>
      <c r="AC10" s="948"/>
      <c r="AD10" s="948"/>
      <c r="AE10" s="948"/>
      <c r="AF10" s="948"/>
      <c r="AG10" s="948"/>
      <c r="AH10" s="948"/>
      <c r="AI10" s="948"/>
      <c r="AJ10" s="948"/>
      <c r="AK10" s="948"/>
      <c r="AL10" s="948"/>
      <c r="AM10" s="948"/>
      <c r="AN10" s="948"/>
      <c r="AO10" s="948"/>
      <c r="AP10" s="948"/>
      <c r="AQ10" s="948"/>
      <c r="AR10" s="948"/>
      <c r="AS10" s="948"/>
      <c r="AT10" s="948"/>
      <c r="AU10" s="948"/>
      <c r="AV10" s="948"/>
      <c r="AW10" s="948"/>
      <c r="AX10" s="948"/>
      <c r="AY10" s="948"/>
      <c r="AZ10" s="948"/>
      <c r="BA10" s="948"/>
      <c r="BB10" s="948"/>
      <c r="BC10" s="948"/>
      <c r="BD10" s="948"/>
      <c r="BE10" s="948"/>
      <c r="BF10" s="948"/>
      <c r="BG10" s="948"/>
      <c r="BH10" s="948"/>
      <c r="BI10" s="948"/>
      <c r="BJ10" s="948"/>
      <c r="BK10" s="948"/>
      <c r="BL10" s="948"/>
      <c r="BM10" s="948"/>
      <c r="BN10" s="948"/>
      <c r="BO10" s="948"/>
      <c r="BP10" s="948"/>
      <c r="BQ10" s="948"/>
      <c r="BR10" s="948"/>
      <c r="BS10" s="948"/>
      <c r="BT10" s="948"/>
      <c r="BU10" s="948"/>
      <c r="BV10" s="948"/>
      <c r="BW10" s="948"/>
      <c r="BX10" s="948"/>
      <c r="BY10" s="948"/>
      <c r="BZ10" s="948"/>
      <c r="CA10" s="948"/>
      <c r="CB10" s="948"/>
      <c r="CC10" s="948"/>
      <c r="CD10" s="948"/>
      <c r="CE10" s="948"/>
      <c r="CF10" s="948"/>
      <c r="CG10" s="948"/>
      <c r="CH10" s="948"/>
      <c r="CI10" s="948"/>
      <c r="CJ10" s="948"/>
      <c r="CK10" s="948"/>
      <c r="CL10" s="948"/>
      <c r="CM10" s="948"/>
      <c r="CN10" s="948"/>
      <c r="CO10" s="948"/>
      <c r="CP10" s="948"/>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row>
    <row r="11" spans="1:226" ht="15">
      <c r="A11" t="s">
        <v>5</v>
      </c>
      <c r="B11" s="20">
        <v>20553037000</v>
      </c>
      <c r="C11" s="444">
        <f>'By Account'!C18</f>
        <v>20943678000</v>
      </c>
      <c r="D11" s="444"/>
      <c r="E11" s="881">
        <f>C11/B11-1</f>
        <v>1.9006485513552107E-2</v>
      </c>
      <c r="F11" s="1261"/>
      <c r="G11" s="21"/>
      <c r="H11" s="21"/>
      <c r="I11" s="21"/>
      <c r="J11" s="21"/>
      <c r="K11" s="21"/>
      <c r="L11" s="21"/>
      <c r="M11" s="948"/>
      <c r="N11" s="956"/>
      <c r="O11" s="948"/>
      <c r="P11" s="948"/>
      <c r="Q11" s="948"/>
      <c r="R11" s="948"/>
      <c r="S11" s="948"/>
      <c r="T11" s="948"/>
      <c r="U11" s="948"/>
      <c r="V11" s="948"/>
      <c r="W11" s="948"/>
      <c r="X11" s="948"/>
      <c r="Y11" s="948"/>
      <c r="Z11" s="948"/>
      <c r="AA11" s="948"/>
      <c r="AB11" s="948"/>
      <c r="AC11" s="948"/>
      <c r="AD11" s="948"/>
      <c r="AE11" s="948"/>
      <c r="AF11" s="948"/>
      <c r="AG11" s="948"/>
      <c r="AH11" s="948"/>
      <c r="AI11" s="948"/>
      <c r="AJ11" s="948"/>
      <c r="AK11" s="948"/>
      <c r="AL11" s="948"/>
      <c r="AM11" s="948"/>
      <c r="AN11" s="948"/>
      <c r="AO11" s="948"/>
      <c r="AP11" s="948"/>
      <c r="AQ11" s="948"/>
      <c r="AR11" s="948"/>
      <c r="AS11" s="948"/>
      <c r="AT11" s="948"/>
      <c r="AU11" s="948"/>
      <c r="AV11" s="948"/>
      <c r="AW11" s="948"/>
      <c r="AX11" s="948"/>
      <c r="AY11" s="948"/>
      <c r="AZ11" s="948"/>
      <c r="BA11" s="948"/>
      <c r="BB11" s="948"/>
      <c r="BC11" s="948"/>
      <c r="BD11" s="948"/>
      <c r="BE11" s="948"/>
      <c r="BF11" s="948"/>
      <c r="BG11" s="948"/>
      <c r="BH11" s="948"/>
      <c r="BI11" s="948"/>
      <c r="BJ11" s="948"/>
      <c r="BK11" s="948"/>
      <c r="BL11" s="948"/>
      <c r="BM11" s="948"/>
      <c r="BN11" s="948"/>
      <c r="BO11" s="948"/>
      <c r="BP11" s="948"/>
      <c r="BQ11" s="948"/>
      <c r="BR11" s="948"/>
      <c r="BS11" s="948"/>
      <c r="BT11" s="948"/>
      <c r="BU11" s="948"/>
      <c r="BV11" s="948"/>
      <c r="BW11" s="948"/>
      <c r="BX11" s="948"/>
      <c r="BY11" s="948"/>
      <c r="BZ11" s="948"/>
      <c r="CA11" s="948"/>
      <c r="CB11" s="948"/>
      <c r="CC11" s="948"/>
      <c r="CD11" s="948"/>
      <c r="CE11" s="948"/>
      <c r="CF11" s="948"/>
      <c r="CG11" s="948"/>
      <c r="CH11" s="948"/>
      <c r="CI11" s="948"/>
      <c r="CJ11" s="948"/>
      <c r="CK11" s="948"/>
      <c r="CL11" s="948"/>
      <c r="CM11" s="948"/>
      <c r="CN11" s="948"/>
      <c r="CO11" s="948"/>
      <c r="CP11" s="948"/>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row>
    <row r="12" spans="1:226" ht="15">
      <c r="A12" s="484" t="s">
        <v>888</v>
      </c>
      <c r="B12" s="23">
        <v>822241000</v>
      </c>
      <c r="C12" s="445">
        <f>'By Account'!C38</f>
        <v>848413000</v>
      </c>
      <c r="D12" s="445"/>
      <c r="E12" s="882">
        <f>C12/B12-1</f>
        <v>3.183008388051678E-2</v>
      </c>
      <c r="F12" s="1261"/>
      <c r="G12" s="21"/>
      <c r="H12" s="21"/>
      <c r="I12" s="21"/>
      <c r="J12" s="21"/>
      <c r="K12" s="21"/>
      <c r="L12" s="21"/>
      <c r="M12" s="948"/>
      <c r="N12" s="948"/>
      <c r="O12" s="948"/>
      <c r="P12" s="948"/>
      <c r="Q12" s="948"/>
      <c r="R12" s="948"/>
      <c r="S12" s="948"/>
      <c r="T12" s="948"/>
      <c r="U12" s="948"/>
      <c r="V12" s="948"/>
      <c r="W12" s="948"/>
      <c r="X12" s="948"/>
      <c r="Y12" s="948"/>
      <c r="Z12" s="948"/>
      <c r="AA12" s="948"/>
      <c r="AB12" s="948"/>
      <c r="AC12" s="948"/>
      <c r="AD12" s="948"/>
      <c r="AE12" s="948"/>
      <c r="AF12" s="948"/>
      <c r="AG12" s="948"/>
      <c r="AH12" s="948"/>
      <c r="AI12" s="948"/>
      <c r="AJ12" s="948"/>
      <c r="AK12" s="948"/>
      <c r="AL12" s="948"/>
      <c r="AM12" s="948"/>
      <c r="AN12" s="948"/>
      <c r="AO12" s="948"/>
      <c r="AP12" s="948"/>
      <c r="AQ12" s="948"/>
      <c r="AR12" s="948"/>
      <c r="AS12" s="948"/>
      <c r="AT12" s="948"/>
      <c r="AU12" s="948"/>
      <c r="AV12" s="948"/>
      <c r="AW12" s="948"/>
      <c r="AX12" s="948"/>
      <c r="AY12" s="948"/>
      <c r="AZ12" s="948"/>
      <c r="BA12" s="948"/>
      <c r="BB12" s="948"/>
      <c r="BC12" s="948"/>
      <c r="BD12" s="948"/>
      <c r="BE12" s="948"/>
      <c r="BF12" s="948"/>
      <c r="BG12" s="948"/>
      <c r="BH12" s="948"/>
      <c r="BI12" s="948"/>
      <c r="BJ12" s="948"/>
      <c r="BK12" s="948"/>
      <c r="BL12" s="948"/>
      <c r="BM12" s="948"/>
      <c r="BN12" s="948"/>
      <c r="BO12" s="948"/>
      <c r="BP12" s="948"/>
      <c r="BQ12" s="948"/>
      <c r="BR12" s="948"/>
      <c r="BS12" s="948"/>
      <c r="BT12" s="948"/>
      <c r="BU12" s="948"/>
      <c r="BV12" s="948"/>
      <c r="BW12" s="948"/>
      <c r="BX12" s="948"/>
      <c r="BY12" s="948"/>
      <c r="BZ12" s="948"/>
      <c r="CA12" s="948"/>
      <c r="CB12" s="948"/>
      <c r="CC12" s="948"/>
      <c r="CD12" s="948"/>
      <c r="CE12" s="948"/>
      <c r="CF12" s="948"/>
      <c r="CG12" s="948"/>
      <c r="CH12" s="948"/>
      <c r="CI12" s="948"/>
      <c r="CJ12" s="948"/>
      <c r="CK12" s="948"/>
      <c r="CL12" s="948"/>
      <c r="CM12" s="948"/>
      <c r="CN12" s="948"/>
      <c r="CO12" s="948"/>
      <c r="CP12" s="948"/>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row>
    <row r="13" spans="1:226" ht="18" customHeight="1" thickBot="1">
      <c r="A13" s="24" t="s">
        <v>7</v>
      </c>
      <c r="B13" s="25">
        <f>SUM(B11:B12)</f>
        <v>21375278000</v>
      </c>
      <c r="C13" s="446">
        <f>SUM(C11:C12)</f>
        <v>21792091000</v>
      </c>
      <c r="D13" s="883"/>
      <c r="E13" s="884">
        <f>C13/B13-1</f>
        <v>1.9499769780771947E-2</v>
      </c>
      <c r="F13" s="1262"/>
      <c r="G13" s="21"/>
      <c r="H13" s="21"/>
      <c r="I13" s="21"/>
      <c r="J13" s="21"/>
      <c r="K13" s="21"/>
      <c r="L13" s="21"/>
      <c r="M13" s="948"/>
      <c r="N13" s="948"/>
      <c r="O13" s="948"/>
      <c r="P13" s="948"/>
      <c r="Q13" s="948"/>
      <c r="R13" s="948"/>
      <c r="S13" s="948"/>
      <c r="T13" s="948"/>
      <c r="U13" s="948"/>
      <c r="V13" s="948"/>
      <c r="W13" s="948"/>
      <c r="X13" s="948"/>
      <c r="Y13" s="948"/>
      <c r="Z13" s="948"/>
      <c r="AA13" s="948"/>
      <c r="AB13" s="948"/>
      <c r="AC13" s="948"/>
      <c r="AD13" s="948"/>
      <c r="AE13" s="948"/>
      <c r="AF13" s="948"/>
      <c r="AG13" s="948"/>
      <c r="AH13" s="948"/>
      <c r="AI13" s="948"/>
      <c r="AJ13" s="948"/>
      <c r="AK13" s="948"/>
      <c r="AL13" s="948"/>
      <c r="AM13" s="948"/>
      <c r="AN13" s="948"/>
      <c r="AO13" s="948"/>
      <c r="AP13" s="948"/>
      <c r="AQ13" s="948"/>
      <c r="AR13" s="948"/>
      <c r="AS13" s="948"/>
      <c r="AT13" s="948"/>
      <c r="AU13" s="948"/>
      <c r="AV13" s="948"/>
      <c r="AW13" s="948"/>
      <c r="AX13" s="948"/>
      <c r="AY13" s="948"/>
      <c r="AZ13" s="948"/>
      <c r="BA13" s="948"/>
      <c r="BB13" s="948"/>
      <c r="BC13" s="948"/>
      <c r="BD13" s="948"/>
      <c r="BE13" s="948"/>
      <c r="BF13" s="948"/>
      <c r="BG13" s="948"/>
      <c r="BH13" s="948"/>
      <c r="BI13" s="948"/>
      <c r="BJ13" s="948"/>
      <c r="BK13" s="948"/>
      <c r="BL13" s="948"/>
      <c r="BM13" s="948"/>
      <c r="BN13" s="948"/>
      <c r="BO13" s="948"/>
      <c r="BP13" s="948"/>
      <c r="BQ13" s="948"/>
      <c r="BR13" s="948"/>
      <c r="BS13" s="948"/>
      <c r="BT13" s="948"/>
      <c r="BU13" s="948"/>
      <c r="BV13" s="948"/>
      <c r="BW13" s="948"/>
      <c r="BX13" s="948"/>
      <c r="BY13" s="948"/>
      <c r="BZ13" s="948"/>
      <c r="CA13" s="948"/>
      <c r="CB13" s="948"/>
      <c r="CC13" s="948"/>
      <c r="CD13" s="948"/>
      <c r="CE13" s="948"/>
      <c r="CF13" s="948"/>
      <c r="CG13" s="948"/>
      <c r="CH13" s="948"/>
      <c r="CI13" s="948"/>
      <c r="CJ13" s="948"/>
      <c r="CK13" s="948"/>
      <c r="CL13" s="948"/>
      <c r="CM13" s="948"/>
      <c r="CN13" s="948"/>
      <c r="CO13" s="948"/>
      <c r="CP13" s="948"/>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row>
    <row r="14" spans="1:226" ht="14.1" customHeight="1" thickTop="1">
      <c r="A14" s="22"/>
      <c r="B14" s="26"/>
      <c r="C14" s="885"/>
      <c r="D14" s="885"/>
      <c r="E14" s="887"/>
      <c r="F14" s="1262"/>
      <c r="G14" s="27"/>
      <c r="H14" s="27"/>
      <c r="I14" s="27"/>
      <c r="J14" s="27"/>
      <c r="K14" s="27"/>
      <c r="L14" s="27"/>
      <c r="M14" s="948"/>
      <c r="O14" s="957"/>
      <c r="P14" s="958"/>
      <c r="Q14" s="948"/>
      <c r="R14" s="948"/>
      <c r="S14" s="948"/>
      <c r="T14" s="948"/>
      <c r="U14" s="948"/>
      <c r="V14" s="948"/>
      <c r="W14" s="948"/>
      <c r="X14" s="948"/>
      <c r="Y14" s="948"/>
      <c r="Z14" s="948"/>
      <c r="AA14" s="948"/>
      <c r="AB14" s="948"/>
      <c r="AC14" s="948"/>
      <c r="AD14" s="948"/>
      <c r="AE14" s="948"/>
      <c r="AF14" s="948"/>
      <c r="AG14" s="948"/>
      <c r="AH14" s="948"/>
      <c r="AI14" s="948"/>
      <c r="AJ14" s="948"/>
      <c r="AK14" s="948"/>
      <c r="AL14" s="948"/>
      <c r="AM14" s="948"/>
      <c r="AN14" s="948"/>
      <c r="AO14" s="948"/>
      <c r="AP14" s="948"/>
      <c r="AQ14" s="948"/>
      <c r="AR14" s="948"/>
      <c r="AS14" s="948"/>
      <c r="AT14" s="948"/>
      <c r="AU14" s="948"/>
      <c r="AV14" s="948"/>
      <c r="AW14" s="948"/>
      <c r="AX14" s="948"/>
      <c r="AY14" s="948"/>
      <c r="AZ14" s="948"/>
      <c r="BA14" s="948"/>
      <c r="BB14" s="948"/>
      <c r="BC14" s="948"/>
      <c r="BD14" s="948"/>
      <c r="BE14" s="948"/>
      <c r="BF14" s="948"/>
      <c r="BG14" s="948"/>
      <c r="BH14" s="948"/>
      <c r="BI14" s="948"/>
      <c r="BJ14" s="948"/>
      <c r="BK14" s="948"/>
      <c r="BL14" s="948"/>
      <c r="BM14" s="948"/>
      <c r="BN14" s="948"/>
      <c r="BO14" s="948"/>
      <c r="BP14" s="948"/>
      <c r="BQ14" s="948"/>
      <c r="BR14" s="948"/>
      <c r="BS14" s="948"/>
      <c r="BT14" s="948"/>
      <c r="BU14" s="948"/>
      <c r="BV14" s="948"/>
      <c r="BW14" s="948"/>
      <c r="BX14" s="948"/>
      <c r="BY14" s="948"/>
      <c r="BZ14" s="948"/>
      <c r="CA14" s="948"/>
      <c r="CB14" s="948"/>
      <c r="CC14" s="948"/>
      <c r="CD14" s="948"/>
      <c r="CE14" s="948"/>
      <c r="CF14" s="948"/>
      <c r="CG14" s="948"/>
      <c r="CH14" s="948"/>
      <c r="CI14" s="948"/>
      <c r="CJ14" s="948"/>
      <c r="CK14" s="948"/>
      <c r="CL14" s="948"/>
      <c r="CM14" s="948"/>
      <c r="CN14" s="948"/>
      <c r="CO14" s="948"/>
      <c r="CP14" s="948"/>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row>
    <row r="15" spans="1:226" ht="15.75">
      <c r="A15" s="19" t="s">
        <v>8</v>
      </c>
      <c r="B15" s="20"/>
      <c r="C15" s="444"/>
      <c r="D15" s="444"/>
      <c r="E15" s="881"/>
      <c r="F15" s="1261"/>
      <c r="G15" s="27"/>
      <c r="H15" s="27"/>
      <c r="I15" s="27"/>
      <c r="J15" s="27"/>
      <c r="K15" s="27"/>
      <c r="L15" s="27"/>
      <c r="M15" s="948"/>
      <c r="N15" s="948"/>
      <c r="Q15" s="948"/>
      <c r="R15" s="948"/>
      <c r="S15" s="948"/>
      <c r="T15" s="948"/>
      <c r="U15" s="948"/>
      <c r="V15" s="948"/>
      <c r="W15" s="948"/>
      <c r="X15" s="948"/>
      <c r="Y15" s="948"/>
      <c r="Z15" s="948"/>
      <c r="AA15" s="948"/>
      <c r="AB15" s="948"/>
      <c r="AC15" s="948"/>
      <c r="AD15" s="948"/>
      <c r="AE15" s="948"/>
      <c r="AF15" s="948"/>
      <c r="AG15" s="948"/>
      <c r="AH15" s="948"/>
      <c r="AI15" s="948"/>
      <c r="AJ15" s="948"/>
      <c r="AK15" s="948"/>
      <c r="AL15" s="948"/>
      <c r="AM15" s="948"/>
      <c r="AN15" s="948"/>
      <c r="AO15" s="948"/>
      <c r="AP15" s="948"/>
      <c r="AQ15" s="948"/>
      <c r="AR15" s="948"/>
      <c r="AS15" s="948"/>
      <c r="AT15" s="948"/>
      <c r="AU15" s="948"/>
      <c r="AV15" s="948"/>
      <c r="AW15" s="948"/>
      <c r="AX15" s="948"/>
      <c r="AY15" s="948"/>
      <c r="AZ15" s="948"/>
      <c r="BA15" s="948"/>
      <c r="BB15" s="948"/>
      <c r="BC15" s="948"/>
      <c r="BD15" s="948"/>
      <c r="BE15" s="948"/>
      <c r="BF15" s="948"/>
      <c r="BG15" s="948"/>
      <c r="BH15" s="948"/>
      <c r="BI15" s="948"/>
      <c r="BJ15" s="948"/>
      <c r="BK15" s="948"/>
      <c r="BL15" s="948"/>
      <c r="BM15" s="948"/>
      <c r="BN15" s="948"/>
      <c r="BO15" s="948"/>
      <c r="BP15" s="948"/>
      <c r="BQ15" s="948"/>
      <c r="BR15" s="948"/>
      <c r="BS15" s="948"/>
      <c r="BT15" s="948"/>
      <c r="BU15" s="948"/>
      <c r="BV15" s="948"/>
      <c r="BW15" s="948"/>
      <c r="BX15" s="948"/>
      <c r="BY15" s="948"/>
      <c r="BZ15" s="948"/>
      <c r="CA15" s="948"/>
      <c r="CB15" s="948"/>
      <c r="CC15" s="948"/>
      <c r="CD15" s="948"/>
      <c r="CE15" s="948"/>
      <c r="CF15" s="948"/>
      <c r="CG15" s="948"/>
      <c r="CH15" s="948"/>
      <c r="CI15" s="948"/>
      <c r="CJ15" s="948"/>
      <c r="CK15" s="948"/>
      <c r="CL15" s="948"/>
      <c r="CM15" s="948"/>
      <c r="CN15" s="948"/>
      <c r="CO15" s="948"/>
      <c r="CP15" s="948"/>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row>
    <row r="16" spans="1:226" ht="15">
      <c r="A16" t="s">
        <v>5</v>
      </c>
      <c r="B16" s="20">
        <v>914057000</v>
      </c>
      <c r="C16" s="444">
        <f>C6-C11</f>
        <v>959893000</v>
      </c>
      <c r="D16" s="444"/>
      <c r="E16" s="888">
        <f>C16/B16-1</f>
        <v>5.014566925257391E-2</v>
      </c>
      <c r="F16" s="1261"/>
      <c r="G16" s="21"/>
      <c r="H16" s="21"/>
      <c r="I16" s="21"/>
      <c r="J16" s="21"/>
      <c r="K16" s="21"/>
      <c r="L16" s="21"/>
      <c r="M16" s="948"/>
      <c r="Q16" s="948"/>
      <c r="R16" s="948"/>
      <c r="S16" s="948"/>
      <c r="T16" s="948"/>
      <c r="U16" s="948"/>
      <c r="V16" s="948"/>
      <c r="W16" s="948"/>
      <c r="X16" s="948"/>
      <c r="Y16" s="948"/>
      <c r="Z16" s="948"/>
      <c r="AA16" s="948"/>
      <c r="AB16" s="948"/>
      <c r="AC16" s="948"/>
      <c r="AD16" s="948"/>
      <c r="AE16" s="948"/>
      <c r="AF16" s="948"/>
      <c r="AG16" s="948"/>
      <c r="AH16" s="948"/>
      <c r="AI16" s="948"/>
      <c r="AJ16" s="948"/>
      <c r="AK16" s="948"/>
      <c r="AL16" s="948"/>
      <c r="AM16" s="948"/>
      <c r="AN16" s="948"/>
      <c r="AO16" s="948"/>
      <c r="AP16" s="948"/>
      <c r="AQ16" s="948"/>
      <c r="AR16" s="948"/>
      <c r="AS16" s="948"/>
      <c r="AT16" s="948"/>
      <c r="AU16" s="948"/>
      <c r="AV16" s="948"/>
      <c r="AW16" s="948"/>
      <c r="AX16" s="948"/>
      <c r="AY16" s="948"/>
      <c r="AZ16" s="948"/>
      <c r="BA16" s="948"/>
      <c r="BB16" s="948"/>
      <c r="BC16" s="948"/>
      <c r="BD16" s="948"/>
      <c r="BE16" s="948"/>
      <c r="BF16" s="948"/>
      <c r="BG16" s="948"/>
      <c r="BH16" s="948"/>
      <c r="BI16" s="948"/>
      <c r="BJ16" s="948"/>
      <c r="BK16" s="948"/>
      <c r="BL16" s="948"/>
      <c r="BM16" s="948"/>
      <c r="BN16" s="948"/>
      <c r="BO16" s="948"/>
      <c r="BP16" s="948"/>
      <c r="BQ16" s="948"/>
      <c r="BR16" s="948"/>
      <c r="BS16" s="948"/>
      <c r="BT16" s="948"/>
      <c r="BU16" s="948"/>
      <c r="BV16" s="948"/>
      <c r="BW16" s="948"/>
      <c r="BX16" s="948"/>
      <c r="BY16" s="948"/>
      <c r="BZ16" s="948"/>
      <c r="CA16" s="948"/>
      <c r="CB16" s="948"/>
      <c r="CC16" s="948"/>
      <c r="CD16" s="948"/>
      <c r="CE16" s="948"/>
      <c r="CF16" s="948"/>
      <c r="CG16" s="948"/>
      <c r="CH16" s="948"/>
      <c r="CI16" s="948"/>
      <c r="CJ16" s="948"/>
      <c r="CK16" s="948"/>
      <c r="CL16" s="948"/>
      <c r="CM16" s="948"/>
      <c r="CN16" s="948"/>
      <c r="CO16" s="948"/>
      <c r="CP16" s="948"/>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row>
    <row r="17" spans="1:226" ht="15">
      <c r="A17" s="484" t="s">
        <v>888</v>
      </c>
      <c r="B17" s="23">
        <v>28403204000</v>
      </c>
      <c r="C17" s="445">
        <f>C7-C12</f>
        <v>38271170000</v>
      </c>
      <c r="D17" s="445"/>
      <c r="E17" s="882">
        <f>C17/B17-1</f>
        <v>0.34742439620544219</v>
      </c>
      <c r="F17" s="1263"/>
      <c r="G17" s="21"/>
      <c r="H17" s="21"/>
      <c r="I17" s="21"/>
      <c r="J17" s="21"/>
      <c r="K17" s="21"/>
      <c r="L17" s="21"/>
      <c r="M17" s="948"/>
      <c r="Q17" s="948"/>
      <c r="R17" s="948"/>
      <c r="S17" s="948"/>
      <c r="T17" s="948"/>
      <c r="U17" s="948"/>
      <c r="V17" s="948"/>
      <c r="W17" s="948"/>
      <c r="X17" s="948"/>
      <c r="Y17" s="948"/>
      <c r="Z17" s="948"/>
      <c r="AA17" s="948"/>
      <c r="AB17" s="948"/>
      <c r="AC17" s="948"/>
      <c r="AD17" s="948"/>
      <c r="AE17" s="948"/>
      <c r="AF17" s="948"/>
      <c r="AG17" s="948"/>
      <c r="AH17" s="948"/>
      <c r="AI17" s="948"/>
      <c r="AJ17" s="948"/>
      <c r="AK17" s="948"/>
      <c r="AL17" s="948"/>
      <c r="AM17" s="948"/>
      <c r="AN17" s="948"/>
      <c r="AO17" s="948"/>
      <c r="AP17" s="948"/>
      <c r="AQ17" s="948"/>
      <c r="AR17" s="948"/>
      <c r="AS17" s="948"/>
      <c r="AT17" s="948"/>
      <c r="AU17" s="948"/>
      <c r="AV17" s="948"/>
      <c r="AW17" s="948"/>
      <c r="AX17" s="948"/>
      <c r="AY17" s="948"/>
      <c r="AZ17" s="948"/>
      <c r="BA17" s="948"/>
      <c r="BB17" s="948"/>
      <c r="BC17" s="948"/>
      <c r="BD17" s="948"/>
      <c r="BE17" s="948"/>
      <c r="BF17" s="948"/>
      <c r="BG17" s="948"/>
      <c r="BH17" s="948"/>
      <c r="BI17" s="948"/>
      <c r="BJ17" s="948"/>
      <c r="BK17" s="948"/>
      <c r="BL17" s="948"/>
      <c r="BM17" s="948"/>
      <c r="BN17" s="948"/>
      <c r="BO17" s="948"/>
      <c r="BP17" s="948"/>
      <c r="BQ17" s="948"/>
      <c r="BR17" s="948"/>
      <c r="BS17" s="948"/>
      <c r="BT17" s="948"/>
      <c r="BU17" s="948"/>
      <c r="BV17" s="948"/>
      <c r="BW17" s="948"/>
      <c r="BX17" s="948"/>
      <c r="BY17" s="948"/>
      <c r="BZ17" s="948"/>
      <c r="CA17" s="948"/>
      <c r="CB17" s="948"/>
      <c r="CC17" s="948"/>
      <c r="CD17" s="948"/>
      <c r="CE17" s="948"/>
      <c r="CF17" s="948"/>
      <c r="CG17" s="948"/>
      <c r="CH17" s="948"/>
      <c r="CI17" s="948"/>
      <c r="CJ17" s="948"/>
      <c r="CK17" s="948"/>
      <c r="CL17" s="948"/>
      <c r="CM17" s="948"/>
      <c r="CN17" s="948"/>
      <c r="CO17" s="948"/>
      <c r="CP17" s="948"/>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row>
    <row r="18" spans="1:226" ht="18" customHeight="1" thickBot="1">
      <c r="A18" s="24" t="s">
        <v>9</v>
      </c>
      <c r="B18" s="25">
        <f>SUM(B16:B17)</f>
        <v>29317261000</v>
      </c>
      <c r="C18" s="446">
        <f>SUM(C16:C17)</f>
        <v>39231063000</v>
      </c>
      <c r="D18" s="883"/>
      <c r="E18" s="1212">
        <f>C18/B18-1</f>
        <v>0.3381558052097704</v>
      </c>
      <c r="F18" s="1262"/>
      <c r="G18" s="28"/>
      <c r="H18" s="21"/>
      <c r="I18" s="21"/>
      <c r="J18" s="21"/>
      <c r="K18" s="21"/>
      <c r="L18" s="21"/>
      <c r="M18" s="948"/>
      <c r="Q18" s="948"/>
      <c r="R18" s="948"/>
      <c r="S18" s="948"/>
      <c r="T18" s="948"/>
      <c r="U18" s="948"/>
      <c r="V18" s="948"/>
      <c r="W18" s="948"/>
      <c r="X18" s="948"/>
      <c r="Y18" s="948"/>
      <c r="Z18" s="948"/>
      <c r="AA18" s="948"/>
      <c r="AB18" s="948"/>
      <c r="AC18" s="948"/>
      <c r="AD18" s="948"/>
      <c r="AE18" s="948"/>
      <c r="AF18" s="948"/>
      <c r="AG18" s="948"/>
      <c r="AH18" s="948"/>
      <c r="AI18" s="948"/>
      <c r="AJ18" s="948"/>
      <c r="AK18" s="948"/>
      <c r="AL18" s="948"/>
      <c r="AM18" s="948"/>
      <c r="AN18" s="948"/>
      <c r="AO18" s="948"/>
      <c r="AP18" s="948"/>
      <c r="AQ18" s="948"/>
      <c r="AR18" s="948"/>
      <c r="AS18" s="948"/>
      <c r="AT18" s="948"/>
      <c r="AU18" s="948"/>
      <c r="AV18" s="948"/>
      <c r="AW18" s="948"/>
      <c r="AX18" s="948"/>
      <c r="AY18" s="948"/>
      <c r="AZ18" s="948"/>
      <c r="BA18" s="948"/>
      <c r="BB18" s="948"/>
      <c r="BC18" s="948"/>
      <c r="BD18" s="948"/>
      <c r="BE18" s="948"/>
      <c r="BF18" s="948"/>
      <c r="BG18" s="948"/>
      <c r="BH18" s="948"/>
      <c r="BI18" s="948"/>
      <c r="BJ18" s="948"/>
      <c r="BK18" s="948"/>
      <c r="BL18" s="948"/>
      <c r="BM18" s="948"/>
      <c r="BN18" s="948"/>
      <c r="BO18" s="948"/>
      <c r="BP18" s="948"/>
      <c r="BQ18" s="948"/>
      <c r="BR18" s="948"/>
      <c r="BS18" s="948"/>
      <c r="BT18" s="948"/>
      <c r="BU18" s="948"/>
      <c r="BV18" s="948"/>
      <c r="BW18" s="948"/>
      <c r="BX18" s="948"/>
      <c r="BY18" s="948"/>
      <c r="BZ18" s="948"/>
      <c r="CA18" s="948"/>
      <c r="CB18" s="948"/>
      <c r="CC18" s="948"/>
      <c r="CD18" s="948"/>
      <c r="CE18" s="948"/>
      <c r="CF18" s="948"/>
      <c r="CG18" s="948"/>
      <c r="CH18" s="948"/>
      <c r="CI18" s="948"/>
      <c r="CJ18" s="948"/>
      <c r="CK18" s="948"/>
      <c r="CL18" s="948"/>
      <c r="CM18" s="948"/>
      <c r="CN18" s="948"/>
      <c r="CO18" s="948"/>
      <c r="CP18" s="948"/>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row>
    <row r="19" spans="1:226" ht="14.1" customHeight="1" thickTop="1">
      <c r="A19" s="22"/>
      <c r="B19" s="22"/>
      <c r="C19" s="22"/>
      <c r="D19" s="22"/>
      <c r="E19" s="29"/>
      <c r="F19" s="1264"/>
      <c r="G19" s="21"/>
      <c r="H19" s="21"/>
      <c r="I19" s="21"/>
      <c r="J19" s="21"/>
      <c r="K19" s="21"/>
      <c r="L19" s="21"/>
      <c r="M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8"/>
      <c r="AN19" s="948"/>
      <c r="AO19" s="948"/>
      <c r="AP19" s="948"/>
      <c r="AQ19" s="948"/>
      <c r="AR19" s="948"/>
      <c r="AS19" s="948"/>
      <c r="AT19" s="948"/>
      <c r="AU19" s="948"/>
      <c r="AV19" s="948"/>
      <c r="AW19" s="948"/>
      <c r="AX19" s="948"/>
      <c r="AY19" s="948"/>
      <c r="AZ19" s="948"/>
      <c r="BA19" s="948"/>
      <c r="BB19" s="948"/>
      <c r="BC19" s="948"/>
      <c r="BD19" s="948"/>
      <c r="BE19" s="948"/>
      <c r="BF19" s="948"/>
      <c r="BG19" s="948"/>
      <c r="BH19" s="948"/>
      <c r="BI19" s="948"/>
      <c r="BJ19" s="948"/>
      <c r="BK19" s="948"/>
      <c r="BL19" s="948"/>
      <c r="BM19" s="948"/>
      <c r="BN19" s="948"/>
      <c r="BO19" s="948"/>
      <c r="BP19" s="948"/>
      <c r="BQ19" s="948"/>
      <c r="BR19" s="948"/>
      <c r="BS19" s="948"/>
      <c r="BT19" s="948"/>
      <c r="BU19" s="948"/>
      <c r="BV19" s="948"/>
      <c r="BW19" s="948"/>
      <c r="BX19" s="948"/>
      <c r="BY19" s="948"/>
      <c r="BZ19" s="948"/>
      <c r="CA19" s="948"/>
      <c r="CB19" s="948"/>
      <c r="CC19" s="948"/>
      <c r="CD19" s="948"/>
      <c r="CE19" s="948"/>
      <c r="CF19" s="948"/>
      <c r="CG19" s="948"/>
      <c r="CH19" s="948"/>
      <c r="CI19" s="948"/>
      <c r="CJ19" s="948"/>
      <c r="CK19" s="948"/>
      <c r="CL19" s="948"/>
      <c r="CM19" s="948"/>
      <c r="CN19" s="948"/>
      <c r="CO19" s="948"/>
      <c r="CP19" s="948"/>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row>
    <row r="20" spans="1:226" ht="12" customHeight="1">
      <c r="A20" s="12" t="s">
        <v>1</v>
      </c>
      <c r="B20" s="909"/>
      <c r="C20" s="909"/>
      <c r="D20" s="130"/>
      <c r="E20" s="27"/>
      <c r="F20" s="814"/>
      <c r="G20" s="21"/>
      <c r="H20" s="21"/>
      <c r="I20" s="21"/>
      <c r="J20" s="21"/>
      <c r="K20" s="21"/>
      <c r="L20" s="21"/>
      <c r="M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8"/>
      <c r="AM20" s="948"/>
      <c r="AN20" s="948"/>
      <c r="AO20" s="948"/>
      <c r="AP20" s="948"/>
      <c r="AQ20" s="948"/>
      <c r="AR20" s="948"/>
      <c r="AS20" s="948"/>
      <c r="AT20" s="948"/>
      <c r="AU20" s="948"/>
      <c r="AV20" s="948"/>
      <c r="AW20" s="948"/>
      <c r="AX20" s="948"/>
      <c r="AY20" s="948"/>
      <c r="AZ20" s="948"/>
      <c r="BA20" s="948"/>
      <c r="BB20" s="948"/>
      <c r="BC20" s="948"/>
      <c r="BD20" s="948"/>
      <c r="BE20" s="948"/>
      <c r="BF20" s="948"/>
      <c r="BG20" s="948"/>
      <c r="BH20" s="948"/>
      <c r="BI20" s="948"/>
      <c r="BJ20" s="948"/>
      <c r="BK20" s="948"/>
      <c r="BL20" s="948"/>
      <c r="BM20" s="948"/>
      <c r="BN20" s="948"/>
      <c r="BO20" s="948"/>
      <c r="BP20" s="948"/>
      <c r="BQ20" s="948"/>
      <c r="BR20" s="948"/>
      <c r="BS20" s="948"/>
      <c r="BT20" s="948"/>
      <c r="BU20" s="948"/>
      <c r="BV20" s="948"/>
      <c r="BW20" s="948"/>
      <c r="BX20" s="948"/>
      <c r="BY20" s="948"/>
      <c r="BZ20" s="948"/>
      <c r="CA20" s="948"/>
      <c r="CB20" s="948"/>
      <c r="CC20" s="948"/>
      <c r="CD20" s="948"/>
      <c r="CE20" s="948"/>
      <c r="CF20" s="948"/>
      <c r="CG20" s="948"/>
      <c r="CH20" s="948"/>
      <c r="CI20" s="948"/>
      <c r="CJ20" s="948"/>
      <c r="CK20" s="948"/>
      <c r="CL20" s="948"/>
      <c r="CM20" s="948"/>
      <c r="CN20" s="948"/>
      <c r="CO20" s="948"/>
      <c r="CP20" s="948"/>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row>
    <row r="21" spans="1:226" ht="12" customHeight="1">
      <c r="A21" s="12" t="s">
        <v>10</v>
      </c>
      <c r="B21" s="130"/>
      <c r="C21" s="910"/>
      <c r="D21" s="130"/>
      <c r="E21" s="27"/>
      <c r="F21" s="814"/>
      <c r="G21" s="21"/>
      <c r="H21" s="21"/>
      <c r="I21" s="21"/>
      <c r="J21" s="21"/>
      <c r="K21" s="21"/>
      <c r="L21" s="21"/>
      <c r="M21" s="948"/>
      <c r="Q21" s="948"/>
      <c r="R21" s="948"/>
      <c r="S21" s="948"/>
      <c r="T21" s="948"/>
      <c r="U21" s="948"/>
      <c r="V21" s="948"/>
      <c r="W21" s="948"/>
      <c r="X21" s="948"/>
      <c r="Y21" s="948"/>
      <c r="Z21" s="948"/>
      <c r="AA21" s="948"/>
      <c r="AB21" s="948"/>
      <c r="AC21" s="948"/>
      <c r="AD21" s="948"/>
      <c r="AE21" s="948"/>
      <c r="AF21" s="948"/>
      <c r="AG21" s="948"/>
      <c r="AH21" s="948"/>
      <c r="AI21" s="948"/>
      <c r="AJ21" s="948"/>
      <c r="AK21" s="948"/>
      <c r="AL21" s="948"/>
      <c r="AM21" s="948"/>
      <c r="AN21" s="948"/>
      <c r="AO21" s="948"/>
      <c r="AP21" s="948"/>
      <c r="AQ21" s="948"/>
      <c r="AR21" s="948"/>
      <c r="AS21" s="948"/>
      <c r="AT21" s="948"/>
      <c r="AU21" s="948"/>
      <c r="AV21" s="948"/>
      <c r="AW21" s="948"/>
      <c r="AX21" s="948"/>
      <c r="AY21" s="948"/>
      <c r="AZ21" s="948"/>
      <c r="BA21" s="948"/>
      <c r="BB21" s="948"/>
      <c r="BC21" s="948"/>
      <c r="BD21" s="948"/>
      <c r="BE21" s="948"/>
      <c r="BF21" s="948"/>
      <c r="BG21" s="948"/>
      <c r="BH21" s="948"/>
      <c r="BI21" s="948"/>
      <c r="BJ21" s="948"/>
      <c r="BK21" s="948"/>
      <c r="BL21" s="948"/>
      <c r="BM21" s="948"/>
      <c r="BN21" s="948"/>
      <c r="BO21" s="948"/>
      <c r="BP21" s="948"/>
      <c r="BQ21" s="948"/>
      <c r="BR21" s="948"/>
      <c r="BS21" s="948"/>
      <c r="BT21" s="948"/>
      <c r="BU21" s="948"/>
      <c r="BV21" s="948"/>
      <c r="BW21" s="948"/>
      <c r="BX21" s="948"/>
      <c r="BY21" s="948"/>
      <c r="BZ21" s="948"/>
      <c r="CA21" s="948"/>
      <c r="CB21" s="948"/>
      <c r="CC21" s="948"/>
      <c r="CD21" s="948"/>
      <c r="CE21" s="948"/>
      <c r="CF21" s="948"/>
      <c r="CG21" s="948"/>
      <c r="CH21" s="948"/>
      <c r="CI21" s="948"/>
      <c r="CJ21" s="948"/>
      <c r="CK21" s="948"/>
      <c r="CL21" s="948"/>
      <c r="CM21" s="948"/>
      <c r="CN21" s="948"/>
      <c r="CO21" s="948"/>
      <c r="CP21" s="948"/>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row>
    <row r="22" spans="1:226" ht="14.25" customHeight="1">
      <c r="A22" s="1311" t="s">
        <v>1018</v>
      </c>
      <c r="B22" s="1312"/>
      <c r="C22" s="1312"/>
      <c r="D22" s="1312"/>
      <c r="E22" s="1312"/>
      <c r="F22" s="813"/>
      <c r="G22" s="12"/>
      <c r="H22" s="12"/>
      <c r="I22" s="12"/>
      <c r="J22" s="12"/>
      <c r="K22" s="12"/>
      <c r="L22" s="12"/>
      <c r="M22" s="948"/>
      <c r="Q22" s="948"/>
      <c r="R22" s="948"/>
      <c r="S22" s="948"/>
      <c r="T22" s="948"/>
      <c r="U22" s="948"/>
      <c r="V22" s="948"/>
      <c r="W22" s="948"/>
      <c r="X22" s="948"/>
      <c r="Y22" s="948"/>
      <c r="Z22" s="948"/>
      <c r="AA22" s="948"/>
      <c r="AB22" s="948"/>
      <c r="AC22" s="948"/>
      <c r="AD22" s="948"/>
      <c r="AE22" s="948"/>
      <c r="AF22" s="948"/>
      <c r="AG22" s="948"/>
      <c r="AH22" s="948"/>
      <c r="AI22" s="948"/>
      <c r="AJ22" s="948"/>
      <c r="AK22" s="948"/>
      <c r="AL22" s="948"/>
      <c r="AM22" s="948"/>
      <c r="AN22" s="948"/>
      <c r="AO22" s="948"/>
      <c r="AP22" s="948"/>
      <c r="AQ22" s="948"/>
      <c r="AR22" s="948"/>
      <c r="AS22" s="948"/>
      <c r="AT22" s="948"/>
      <c r="AU22" s="948"/>
      <c r="AV22" s="948"/>
      <c r="AW22" s="948"/>
      <c r="AX22" s="948"/>
      <c r="AY22" s="948"/>
      <c r="AZ22" s="948"/>
      <c r="BA22" s="948"/>
      <c r="BB22" s="948"/>
      <c r="BC22" s="948"/>
      <c r="BD22" s="948"/>
      <c r="BE22" s="948"/>
      <c r="BF22" s="948"/>
      <c r="BG22" s="948"/>
      <c r="BH22" s="948"/>
      <c r="BI22" s="948"/>
      <c r="BJ22" s="948"/>
      <c r="BK22" s="948"/>
      <c r="BL22" s="948"/>
      <c r="BM22" s="948"/>
      <c r="BN22" s="948"/>
      <c r="BO22" s="948"/>
      <c r="BP22" s="948"/>
      <c r="BQ22" s="948"/>
      <c r="BR22" s="948"/>
      <c r="BS22" s="948"/>
      <c r="BT22" s="948"/>
      <c r="BU22" s="948"/>
      <c r="BV22" s="948"/>
      <c r="BW22" s="948"/>
      <c r="BX22" s="948"/>
      <c r="BY22" s="948"/>
      <c r="BZ22" s="948"/>
      <c r="CA22" s="948"/>
      <c r="CB22" s="948"/>
      <c r="CC22" s="948"/>
      <c r="CD22" s="948"/>
      <c r="CE22" s="948"/>
      <c r="CF22" s="948"/>
      <c r="CG22" s="948"/>
      <c r="CH22" s="948"/>
      <c r="CI22" s="948"/>
      <c r="CJ22" s="948"/>
      <c r="CK22" s="948"/>
      <c r="CL22" s="948"/>
      <c r="CM22" s="948"/>
      <c r="CN22" s="948"/>
      <c r="CO22" s="948"/>
      <c r="CP22" s="948"/>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row>
    <row r="23" spans="1:226" ht="14.1" customHeight="1">
      <c r="A23" s="12" t="s">
        <v>1005</v>
      </c>
      <c r="B23" s="276"/>
      <c r="C23" s="276"/>
      <c r="D23" s="130"/>
      <c r="E23" s="38"/>
      <c r="F23" s="813"/>
      <c r="G23" s="12"/>
      <c r="H23" s="12"/>
      <c r="I23" s="12"/>
      <c r="J23" s="12"/>
      <c r="K23" s="12"/>
      <c r="L23" s="12"/>
      <c r="M23" s="948"/>
      <c r="Q23" s="948"/>
      <c r="R23" s="948"/>
      <c r="S23" s="948"/>
      <c r="T23" s="948"/>
      <c r="U23" s="948"/>
      <c r="V23" s="948"/>
      <c r="W23" s="948"/>
      <c r="X23" s="948"/>
      <c r="Y23" s="948"/>
      <c r="Z23" s="948"/>
      <c r="AA23" s="948"/>
      <c r="AB23" s="948"/>
      <c r="AC23" s="948"/>
      <c r="AD23" s="948"/>
      <c r="AE23" s="948"/>
      <c r="AF23" s="948"/>
      <c r="AG23" s="948"/>
      <c r="AH23" s="948"/>
      <c r="AI23" s="948"/>
      <c r="AJ23" s="948"/>
      <c r="AK23" s="948"/>
      <c r="AL23" s="948"/>
      <c r="AM23" s="948"/>
      <c r="AN23" s="948"/>
      <c r="AO23" s="948"/>
      <c r="AP23" s="948"/>
      <c r="AQ23" s="948"/>
      <c r="AR23" s="948"/>
      <c r="AS23" s="948"/>
      <c r="AT23" s="948"/>
      <c r="AU23" s="948"/>
      <c r="AV23" s="948"/>
      <c r="AW23" s="948"/>
      <c r="AX23" s="948"/>
      <c r="AY23" s="948"/>
      <c r="AZ23" s="948"/>
      <c r="BA23" s="948"/>
      <c r="BB23" s="948"/>
      <c r="BC23" s="948"/>
      <c r="BD23" s="948"/>
      <c r="BE23" s="948"/>
      <c r="BF23" s="948"/>
      <c r="BG23" s="948"/>
      <c r="BH23" s="948"/>
      <c r="BI23" s="948"/>
      <c r="BJ23" s="948"/>
      <c r="BK23" s="948"/>
      <c r="BL23" s="948"/>
      <c r="BM23" s="948"/>
      <c r="BN23" s="948"/>
      <c r="BO23" s="948"/>
      <c r="BP23" s="948"/>
      <c r="BQ23" s="948"/>
      <c r="BR23" s="948"/>
      <c r="BS23" s="948"/>
      <c r="BT23" s="948"/>
      <c r="BU23" s="948"/>
      <c r="BV23" s="948"/>
      <c r="BW23" s="948"/>
      <c r="BX23" s="948"/>
      <c r="BY23" s="948"/>
      <c r="BZ23" s="948"/>
      <c r="CA23" s="948"/>
      <c r="CB23" s="948"/>
      <c r="CC23" s="948"/>
      <c r="CD23" s="948"/>
      <c r="CE23" s="948"/>
      <c r="CF23" s="948"/>
      <c r="CG23" s="948"/>
      <c r="CH23" s="948"/>
      <c r="CI23" s="948"/>
      <c r="CJ23" s="948"/>
      <c r="CK23" s="948"/>
      <c r="CL23" s="948"/>
      <c r="CM23" s="948"/>
      <c r="CN23" s="948"/>
      <c r="CO23" s="948"/>
      <c r="CP23" s="948"/>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row>
    <row r="24" spans="1:226" ht="14.1" customHeight="1">
      <c r="A24" s="12"/>
      <c r="B24" s="276"/>
      <c r="C24" s="276"/>
      <c r="D24" s="2"/>
      <c r="E24" s="11"/>
      <c r="F24" s="11"/>
      <c r="G24" s="12"/>
      <c r="H24" s="12"/>
      <c r="I24" s="12"/>
      <c r="J24" s="12"/>
      <c r="K24" s="12"/>
      <c r="L24" s="12"/>
      <c r="M24" s="948"/>
      <c r="Q24" s="948"/>
      <c r="R24" s="948"/>
      <c r="S24" s="948"/>
      <c r="T24" s="948"/>
      <c r="U24" s="948"/>
      <c r="V24" s="948"/>
      <c r="W24" s="948"/>
      <c r="X24" s="948"/>
      <c r="Y24" s="948"/>
      <c r="Z24" s="948"/>
      <c r="AA24" s="948"/>
      <c r="AB24" s="948"/>
      <c r="AC24" s="948"/>
      <c r="AD24" s="948"/>
      <c r="AE24" s="948"/>
      <c r="AF24" s="948"/>
      <c r="AG24" s="948"/>
      <c r="AH24" s="948"/>
      <c r="AI24" s="948"/>
      <c r="AJ24" s="948"/>
      <c r="AK24" s="948"/>
      <c r="AL24" s="948"/>
      <c r="AM24" s="948"/>
      <c r="AN24" s="948"/>
      <c r="AO24" s="948"/>
      <c r="AP24" s="948"/>
      <c r="AQ24" s="948"/>
      <c r="AR24" s="948"/>
      <c r="AS24" s="948"/>
      <c r="AT24" s="948"/>
      <c r="AU24" s="948"/>
      <c r="AV24" s="948"/>
      <c r="AW24" s="948"/>
      <c r="AX24" s="948"/>
      <c r="AY24" s="948"/>
      <c r="AZ24" s="948"/>
      <c r="BA24" s="948"/>
      <c r="BB24" s="948"/>
      <c r="BC24" s="948"/>
      <c r="BD24" s="948"/>
      <c r="BE24" s="948"/>
      <c r="BF24" s="948"/>
      <c r="BG24" s="948"/>
      <c r="BH24" s="948"/>
      <c r="BI24" s="948"/>
      <c r="BJ24" s="948"/>
      <c r="BK24" s="948"/>
      <c r="BL24" s="948"/>
      <c r="BM24" s="948"/>
      <c r="BN24" s="948"/>
      <c r="BO24" s="948"/>
      <c r="BP24" s="948"/>
      <c r="BQ24" s="948"/>
      <c r="BR24" s="948"/>
      <c r="BS24" s="948"/>
      <c r="BT24" s="948"/>
      <c r="BU24" s="948"/>
      <c r="BV24" s="948"/>
      <c r="BW24" s="948"/>
      <c r="BX24" s="948"/>
      <c r="BY24" s="948"/>
      <c r="BZ24" s="948"/>
      <c r="CA24" s="948"/>
      <c r="CB24" s="948"/>
      <c r="CC24" s="948"/>
      <c r="CD24" s="948"/>
      <c r="CE24" s="948"/>
      <c r="CF24" s="948"/>
      <c r="CG24" s="948"/>
      <c r="CH24" s="948"/>
      <c r="CI24" s="948"/>
      <c r="CJ24" s="948"/>
      <c r="CK24" s="948"/>
      <c r="CL24" s="948"/>
      <c r="CM24" s="948"/>
      <c r="CN24" s="948"/>
      <c r="CO24" s="948"/>
      <c r="CP24" s="948"/>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row>
    <row r="25" spans="1:226" ht="14.1" customHeight="1">
      <c r="A25" s="12"/>
      <c r="B25" s="276"/>
      <c r="C25" s="276"/>
      <c r="D25" s="2"/>
      <c r="E25" s="11"/>
      <c r="F25" s="11"/>
      <c r="G25" s="12"/>
      <c r="H25" s="12"/>
      <c r="I25" s="12"/>
      <c r="J25" s="12"/>
      <c r="K25" s="12"/>
      <c r="L25" s="12"/>
      <c r="M25" s="948"/>
      <c r="Q25" s="948"/>
      <c r="R25" s="948"/>
      <c r="S25" s="948"/>
      <c r="T25" s="948"/>
      <c r="U25" s="948"/>
      <c r="V25" s="948"/>
      <c r="W25" s="948"/>
      <c r="X25" s="948"/>
      <c r="Y25" s="948"/>
      <c r="Z25" s="948"/>
      <c r="AA25" s="948"/>
      <c r="AB25" s="948"/>
      <c r="AC25" s="948"/>
      <c r="AD25" s="948"/>
      <c r="AE25" s="948"/>
      <c r="AF25" s="948"/>
      <c r="AG25" s="948"/>
      <c r="AH25" s="948"/>
      <c r="AI25" s="948"/>
      <c r="AJ25" s="948"/>
      <c r="AK25" s="948"/>
      <c r="AL25" s="948"/>
      <c r="AM25" s="948"/>
      <c r="AN25" s="948"/>
      <c r="AO25" s="948"/>
      <c r="AP25" s="948"/>
      <c r="AQ25" s="948"/>
      <c r="AR25" s="948"/>
      <c r="AS25" s="948"/>
      <c r="AT25" s="948"/>
      <c r="AU25" s="948"/>
      <c r="AV25" s="948"/>
      <c r="AW25" s="948"/>
      <c r="AX25" s="948"/>
      <c r="AY25" s="948"/>
      <c r="AZ25" s="948"/>
      <c r="BA25" s="948"/>
      <c r="BB25" s="948"/>
      <c r="BC25" s="948"/>
      <c r="BD25" s="948"/>
      <c r="BE25" s="948"/>
      <c r="BF25" s="948"/>
      <c r="BG25" s="948"/>
      <c r="BH25" s="948"/>
      <c r="BI25" s="948"/>
      <c r="BJ25" s="948"/>
      <c r="BK25" s="948"/>
      <c r="BL25" s="948"/>
      <c r="BM25" s="948"/>
      <c r="BN25" s="948"/>
      <c r="BO25" s="948"/>
      <c r="BP25" s="948"/>
      <c r="BQ25" s="948"/>
      <c r="BR25" s="948"/>
      <c r="BS25" s="948"/>
      <c r="BT25" s="948"/>
      <c r="BU25" s="948"/>
      <c r="BV25" s="948"/>
      <c r="BW25" s="948"/>
      <c r="BX25" s="948"/>
      <c r="BY25" s="948"/>
      <c r="BZ25" s="948"/>
      <c r="CA25" s="948"/>
      <c r="CB25" s="948"/>
      <c r="CC25" s="948"/>
      <c r="CD25" s="948"/>
      <c r="CE25" s="948"/>
      <c r="CF25" s="948"/>
      <c r="CG25" s="948"/>
      <c r="CH25" s="948"/>
      <c r="CI25" s="948"/>
      <c r="CJ25" s="948"/>
      <c r="CK25" s="948"/>
      <c r="CL25" s="948"/>
      <c r="CM25" s="948"/>
      <c r="CN25" s="948"/>
      <c r="CO25" s="948"/>
      <c r="CP25" s="948"/>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row>
    <row r="26" spans="1:226" ht="14.1" customHeight="1">
      <c r="A26" s="2"/>
      <c r="B26" s="276"/>
      <c r="C26" s="276"/>
      <c r="D26" s="2"/>
      <c r="E26" s="11"/>
      <c r="F26" s="11"/>
      <c r="G26" s="388"/>
      <c r="H26" s="388"/>
      <c r="I26" s="388"/>
      <c r="J26" s="388"/>
      <c r="K26" s="388"/>
      <c r="L26" s="12"/>
      <c r="M26" s="948"/>
      <c r="Q26" s="948"/>
      <c r="R26" s="948"/>
      <c r="S26" s="948"/>
      <c r="T26" s="948"/>
      <c r="U26" s="948"/>
      <c r="V26" s="948"/>
      <c r="W26" s="948"/>
      <c r="X26" s="948"/>
      <c r="Y26" s="948"/>
      <c r="Z26" s="948"/>
      <c r="AA26" s="948"/>
      <c r="AB26" s="948"/>
      <c r="AC26" s="948"/>
      <c r="AD26" s="948"/>
      <c r="AE26" s="948"/>
      <c r="AF26" s="948"/>
      <c r="AG26" s="948"/>
      <c r="AH26" s="948"/>
      <c r="AI26" s="948"/>
      <c r="AJ26" s="948"/>
      <c r="AK26" s="948"/>
      <c r="AL26" s="948"/>
      <c r="AM26" s="948"/>
      <c r="AN26" s="948"/>
      <c r="AO26" s="948"/>
      <c r="AP26" s="948"/>
      <c r="AQ26" s="948"/>
      <c r="AR26" s="948"/>
      <c r="AS26" s="948"/>
      <c r="AT26" s="948"/>
      <c r="AU26" s="948"/>
      <c r="AV26" s="948"/>
      <c r="AW26" s="948"/>
      <c r="AX26" s="948"/>
      <c r="AY26" s="948"/>
      <c r="AZ26" s="948"/>
      <c r="BA26" s="948"/>
      <c r="BB26" s="948"/>
      <c r="BC26" s="948"/>
      <c r="BD26" s="948"/>
      <c r="BE26" s="948"/>
      <c r="BF26" s="948"/>
      <c r="BG26" s="948"/>
      <c r="BH26" s="948"/>
      <c r="BI26" s="948"/>
      <c r="BJ26" s="948"/>
      <c r="BK26" s="948"/>
      <c r="BL26" s="948"/>
      <c r="BM26" s="948"/>
      <c r="BN26" s="948"/>
      <c r="BO26" s="948"/>
      <c r="BP26" s="948"/>
      <c r="BQ26" s="948"/>
      <c r="BR26" s="948"/>
      <c r="BS26" s="948"/>
      <c r="BT26" s="948"/>
      <c r="BU26" s="948"/>
      <c r="BV26" s="948"/>
      <c r="BW26" s="948"/>
      <c r="BX26" s="948"/>
      <c r="BY26" s="948"/>
      <c r="BZ26" s="948"/>
      <c r="CA26" s="948"/>
      <c r="CB26" s="948"/>
      <c r="CC26" s="948"/>
      <c r="CD26" s="948"/>
      <c r="CE26" s="948"/>
      <c r="CF26" s="948"/>
      <c r="CG26" s="948"/>
      <c r="CH26" s="948"/>
      <c r="CI26" s="948"/>
      <c r="CJ26" s="948"/>
      <c r="CK26" s="948"/>
      <c r="CL26" s="948"/>
      <c r="CM26" s="948"/>
      <c r="CN26" s="948"/>
      <c r="CO26" s="948"/>
      <c r="CP26" s="948"/>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row>
    <row r="27" spans="1:226" ht="14.1" customHeight="1">
      <c r="A27" s="2"/>
      <c r="B27" s="2"/>
      <c r="C27" s="2"/>
      <c r="D27" s="2"/>
      <c r="E27" s="11"/>
      <c r="F27" s="11"/>
      <c r="G27" s="388"/>
      <c r="H27" s="388"/>
      <c r="I27" s="388"/>
      <c r="J27" s="388"/>
      <c r="K27" s="388"/>
      <c r="L27" s="12"/>
      <c r="M27" s="388"/>
      <c r="N27" s="980"/>
      <c r="O27" s="980"/>
      <c r="P27" s="980"/>
      <c r="Q27" s="388"/>
      <c r="R27" s="485"/>
      <c r="S27" s="948"/>
      <c r="T27" s="948"/>
      <c r="U27" s="948"/>
      <c r="V27" s="948"/>
      <c r="W27" s="948"/>
      <c r="X27" s="948"/>
      <c r="Y27" s="948"/>
      <c r="Z27" s="948"/>
      <c r="AA27" s="948"/>
      <c r="AB27" s="948"/>
      <c r="AC27" s="948"/>
      <c r="AD27" s="948"/>
      <c r="AE27" s="948"/>
      <c r="AF27" s="948"/>
      <c r="AG27" s="948"/>
      <c r="AH27" s="948"/>
      <c r="AI27" s="948"/>
      <c r="AJ27" s="948"/>
      <c r="AK27" s="948"/>
      <c r="AL27" s="948"/>
      <c r="AM27" s="948"/>
      <c r="AN27" s="948"/>
      <c r="AO27" s="948"/>
      <c r="AP27" s="948"/>
      <c r="AQ27" s="948"/>
      <c r="AR27" s="948"/>
      <c r="AS27" s="948"/>
      <c r="AT27" s="948"/>
      <c r="AU27" s="948"/>
      <c r="AV27" s="948"/>
      <c r="AW27" s="948"/>
      <c r="AX27" s="948"/>
      <c r="AY27" s="948"/>
      <c r="AZ27" s="948"/>
      <c r="BA27" s="948"/>
      <c r="BB27" s="948"/>
      <c r="BC27" s="948"/>
      <c r="BD27" s="948"/>
      <c r="BE27" s="948"/>
      <c r="BF27" s="948"/>
      <c r="BG27" s="948"/>
      <c r="BH27" s="948"/>
      <c r="BI27" s="948"/>
      <c r="BJ27" s="948"/>
      <c r="BK27" s="948"/>
      <c r="BL27" s="948"/>
      <c r="BM27" s="948"/>
      <c r="BN27" s="948"/>
      <c r="BO27" s="948"/>
      <c r="BP27" s="948"/>
      <c r="BQ27" s="948"/>
      <c r="BR27" s="948"/>
      <c r="BS27" s="948"/>
      <c r="BT27" s="948"/>
      <c r="BU27" s="948"/>
      <c r="BV27" s="948"/>
      <c r="BW27" s="948"/>
      <c r="BX27" s="948"/>
      <c r="BY27" s="948"/>
      <c r="BZ27" s="948"/>
      <c r="CA27" s="948"/>
      <c r="CB27" s="948"/>
      <c r="CC27" s="948"/>
      <c r="CD27" s="948"/>
      <c r="CE27" s="948"/>
      <c r="CF27" s="948"/>
      <c r="CG27" s="948"/>
      <c r="CH27" s="948"/>
      <c r="CI27" s="948"/>
      <c r="CJ27" s="948"/>
      <c r="CK27" s="948"/>
      <c r="CL27" s="948"/>
      <c r="CM27" s="948"/>
      <c r="CN27" s="948"/>
      <c r="CO27" s="948"/>
      <c r="CP27" s="948"/>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row>
    <row r="28" spans="1:226" ht="14.1" customHeight="1">
      <c r="A28" s="578"/>
      <c r="B28" s="2"/>
      <c r="C28" s="2"/>
      <c r="D28" s="2"/>
      <c r="E28" s="11"/>
      <c r="F28" s="11"/>
      <c r="G28" s="388"/>
      <c r="H28" s="388"/>
      <c r="I28" s="388"/>
      <c r="J28" s="388"/>
      <c r="K28" s="388"/>
      <c r="L28" s="12"/>
      <c r="M28" s="388"/>
      <c r="N28" s="980"/>
      <c r="O28" s="965"/>
      <c r="P28" s="965"/>
      <c r="Q28" s="485" t="s">
        <v>894</v>
      </c>
      <c r="R28" s="485" t="s">
        <v>910</v>
      </c>
      <c r="S28" s="948"/>
      <c r="T28" s="948"/>
      <c r="U28" s="948"/>
      <c r="V28" s="948"/>
      <c r="W28" s="948"/>
      <c r="X28" s="948"/>
      <c r="Y28" s="948"/>
      <c r="Z28" s="948"/>
      <c r="AA28" s="948"/>
      <c r="AB28" s="948"/>
      <c r="AC28" s="948"/>
      <c r="AD28" s="948"/>
      <c r="AE28" s="948"/>
      <c r="AF28" s="948"/>
      <c r="AG28" s="948"/>
      <c r="AH28" s="948"/>
      <c r="AI28" s="948"/>
      <c r="AJ28" s="948"/>
      <c r="AK28" s="948"/>
      <c r="AL28" s="948"/>
      <c r="AM28" s="948"/>
      <c r="AN28" s="948"/>
      <c r="AO28" s="948"/>
      <c r="AP28" s="948"/>
      <c r="AQ28" s="948"/>
      <c r="AR28" s="948"/>
      <c r="AS28" s="948"/>
      <c r="AT28" s="948"/>
      <c r="AU28" s="948"/>
      <c r="AV28" s="948"/>
      <c r="AW28" s="948"/>
      <c r="AX28" s="948"/>
      <c r="AY28" s="948"/>
      <c r="AZ28" s="948"/>
      <c r="BA28" s="948"/>
      <c r="BB28" s="948"/>
      <c r="BC28" s="948"/>
      <c r="BD28" s="948"/>
      <c r="BE28" s="948"/>
      <c r="BF28" s="948"/>
      <c r="BG28" s="948"/>
      <c r="BH28" s="948"/>
      <c r="BI28" s="948"/>
      <c r="BJ28" s="948"/>
      <c r="BK28" s="948"/>
      <c r="BL28" s="948"/>
      <c r="BM28" s="948"/>
      <c r="BN28" s="948"/>
      <c r="BO28" s="948"/>
      <c r="BP28" s="948"/>
      <c r="BQ28" s="948"/>
      <c r="BR28" s="948"/>
      <c r="BS28" s="948"/>
      <c r="BT28" s="948"/>
      <c r="BU28" s="948"/>
      <c r="BV28" s="948"/>
      <c r="BW28" s="948"/>
      <c r="BX28" s="948"/>
      <c r="BY28" s="948"/>
      <c r="BZ28" s="948"/>
      <c r="CA28" s="948"/>
      <c r="CB28" s="948"/>
      <c r="CC28" s="948"/>
      <c r="CD28" s="948"/>
      <c r="CE28" s="948"/>
      <c r="CF28" s="948"/>
      <c r="CG28" s="948"/>
      <c r="CH28" s="948"/>
      <c r="CI28" s="948"/>
      <c r="CJ28" s="948"/>
      <c r="CK28" s="948"/>
      <c r="CL28" s="948"/>
      <c r="CM28" s="948"/>
      <c r="CN28" s="948"/>
      <c r="CO28" s="948"/>
      <c r="CP28" s="948"/>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row>
    <row r="29" spans="1:226" ht="14.1" customHeight="1">
      <c r="A29" s="31" t="s">
        <v>11</v>
      </c>
      <c r="B29" s="2"/>
      <c r="C29" s="2"/>
      <c r="D29" s="2"/>
      <c r="E29" s="11"/>
      <c r="F29" s="11"/>
      <c r="G29" s="388"/>
      <c r="H29" s="485" t="s">
        <v>33</v>
      </c>
      <c r="I29" s="965" t="s">
        <v>5</v>
      </c>
      <c r="J29" s="965" t="s">
        <v>887</v>
      </c>
      <c r="K29" s="388"/>
      <c r="L29" s="12"/>
      <c r="M29" s="388"/>
      <c r="N29" s="980"/>
      <c r="O29" s="965" t="s">
        <v>889</v>
      </c>
      <c r="P29" s="966">
        <f>C11/1000000000</f>
        <v>20.943677999999998</v>
      </c>
      <c r="Q29" s="967">
        <f>P29/$P$33</f>
        <v>0.34320871058221603</v>
      </c>
      <c r="R29" s="485">
        <v>40</v>
      </c>
      <c r="S29" s="948"/>
      <c r="T29" s="948"/>
      <c r="U29" s="948"/>
      <c r="V29" s="948"/>
      <c r="W29" s="948"/>
      <c r="X29" s="948"/>
      <c r="Y29" s="948"/>
      <c r="Z29" s="948"/>
      <c r="AA29" s="948"/>
      <c r="AB29" s="948"/>
      <c r="AC29" s="948"/>
      <c r="AD29" s="948"/>
      <c r="AE29" s="948"/>
      <c r="AF29" s="948"/>
      <c r="AG29" s="948"/>
      <c r="AH29" s="948"/>
      <c r="AI29" s="948"/>
      <c r="AJ29" s="948"/>
      <c r="AK29" s="948"/>
      <c r="AL29" s="948"/>
      <c r="AM29" s="948"/>
      <c r="AN29" s="948"/>
      <c r="AO29" s="948"/>
      <c r="AP29" s="948"/>
      <c r="AQ29" s="948"/>
      <c r="AR29" s="948"/>
      <c r="AS29" s="948"/>
      <c r="AT29" s="948"/>
      <c r="AU29" s="948"/>
      <c r="AV29" s="948"/>
      <c r="AW29" s="948"/>
      <c r="AX29" s="948"/>
      <c r="AY29" s="948"/>
      <c r="AZ29" s="948"/>
      <c r="BA29" s="948"/>
      <c r="BB29" s="948"/>
      <c r="BC29" s="948"/>
      <c r="BD29" s="948"/>
      <c r="BE29" s="948"/>
      <c r="BF29" s="948"/>
      <c r="BG29" s="948"/>
      <c r="BH29" s="948"/>
      <c r="BI29" s="948"/>
      <c r="BJ29" s="948"/>
      <c r="BK29" s="948"/>
      <c r="BL29" s="948"/>
      <c r="BM29" s="948"/>
      <c r="BN29" s="948"/>
      <c r="BO29" s="948"/>
      <c r="BP29" s="948"/>
      <c r="BQ29" s="948"/>
      <c r="BR29" s="948"/>
      <c r="BS29" s="948"/>
      <c r="BT29" s="948"/>
      <c r="BU29" s="948"/>
      <c r="BV29" s="948"/>
      <c r="BW29" s="948"/>
      <c r="BX29" s="948"/>
      <c r="BY29" s="948"/>
      <c r="BZ29" s="948"/>
      <c r="CA29" s="948"/>
      <c r="CB29" s="948"/>
      <c r="CC29" s="948"/>
      <c r="CD29" s="948"/>
      <c r="CE29" s="948"/>
      <c r="CF29" s="948"/>
      <c r="CG29" s="948"/>
      <c r="CH29" s="948"/>
      <c r="CI29" s="948"/>
      <c r="CJ29" s="948"/>
      <c r="CK29" s="948"/>
      <c r="CL29" s="948"/>
      <c r="CM29" s="948"/>
      <c r="CN29" s="948"/>
      <c r="CO29" s="948"/>
      <c r="CP29" s="948"/>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row>
    <row r="30" spans="1:226" ht="14.1" customHeight="1">
      <c r="A30" s="31"/>
      <c r="B30" s="2"/>
      <c r="C30" s="2"/>
      <c r="D30" s="1116"/>
      <c r="E30" s="913"/>
      <c r="F30" s="913"/>
      <c r="G30" s="388"/>
      <c r="H30" s="485">
        <v>2011</v>
      </c>
      <c r="I30" s="1256">
        <v>15.378508</v>
      </c>
      <c r="J30" s="1256">
        <v>22.960031000000001</v>
      </c>
      <c r="K30" s="388"/>
      <c r="L30" s="12"/>
      <c r="M30" s="388"/>
      <c r="N30" s="980"/>
      <c r="O30" s="965" t="s">
        <v>891</v>
      </c>
      <c r="P30" s="966">
        <f>C12/1000000000</f>
        <v>0.84841299999999997</v>
      </c>
      <c r="Q30" s="967">
        <f>P30/$P$33</f>
        <v>1.3903132571613719E-2</v>
      </c>
      <c r="R30" s="485">
        <v>2</v>
      </c>
      <c r="S30" s="948"/>
      <c r="T30" s="948"/>
      <c r="U30" s="948"/>
      <c r="V30" s="948"/>
      <c r="W30" s="948"/>
      <c r="X30" s="948"/>
      <c r="Y30" s="948"/>
      <c r="Z30" s="948"/>
      <c r="AA30" s="948"/>
      <c r="AB30" s="948"/>
      <c r="AC30" s="948"/>
      <c r="AD30" s="948"/>
      <c r="AE30" s="948"/>
      <c r="AF30" s="948"/>
      <c r="AG30" s="948"/>
      <c r="AH30" s="948"/>
      <c r="AI30" s="948"/>
      <c r="AJ30" s="948"/>
      <c r="AK30" s="948"/>
      <c r="AL30" s="948"/>
      <c r="AM30" s="948"/>
      <c r="AN30" s="948"/>
      <c r="AO30" s="948"/>
      <c r="AP30" s="948"/>
      <c r="AQ30" s="948"/>
      <c r="AR30" s="948"/>
      <c r="AS30" s="948"/>
      <c r="AT30" s="948"/>
      <c r="AU30" s="948"/>
      <c r="AV30" s="948"/>
      <c r="AW30" s="948"/>
      <c r="AX30" s="948"/>
      <c r="AY30" s="948"/>
      <c r="AZ30" s="948"/>
      <c r="BA30" s="948"/>
      <c r="BB30" s="948"/>
      <c r="BC30" s="948"/>
      <c r="BD30" s="948"/>
      <c r="BE30" s="948"/>
      <c r="BF30" s="948"/>
      <c r="BG30" s="948"/>
      <c r="BH30" s="948"/>
      <c r="BI30" s="948"/>
      <c r="BJ30" s="948"/>
      <c r="BK30" s="948"/>
      <c r="BL30" s="948"/>
      <c r="BM30" s="948"/>
      <c r="BN30" s="948"/>
      <c r="BO30" s="948"/>
      <c r="BP30" s="948"/>
      <c r="BQ30" s="948"/>
      <c r="BR30" s="948"/>
      <c r="BS30" s="948"/>
      <c r="BT30" s="948"/>
      <c r="BU30" s="948"/>
      <c r="BV30" s="948"/>
      <c r="BW30" s="948"/>
      <c r="BX30" s="948"/>
      <c r="BY30" s="948"/>
      <c r="BZ30" s="948"/>
      <c r="CA30" s="948"/>
      <c r="CB30" s="948"/>
      <c r="CC30" s="948"/>
      <c r="CD30" s="948"/>
      <c r="CE30" s="948"/>
      <c r="CF30" s="948"/>
      <c r="CG30" s="948"/>
      <c r="CH30" s="948"/>
      <c r="CI30" s="948"/>
      <c r="CJ30" s="948"/>
      <c r="CK30" s="948"/>
      <c r="CL30" s="948"/>
      <c r="CM30" s="948"/>
      <c r="CN30" s="948"/>
      <c r="CO30" s="948"/>
      <c r="CP30" s="948"/>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row>
    <row r="31" spans="1:226" ht="14.1" customHeight="1">
      <c r="A31" s="2"/>
      <c r="B31" s="17" t="str">
        <f>B3</f>
        <v>Fiscal Year 2019</v>
      </c>
      <c r="C31" s="17" t="str">
        <f>C3</f>
        <v>Fiscal Year 2020</v>
      </c>
      <c r="D31" s="1184"/>
      <c r="E31" s="1185"/>
      <c r="F31" s="913"/>
      <c r="G31" s="388"/>
      <c r="H31" s="485">
        <v>2012</v>
      </c>
      <c r="I31" s="1256">
        <v>16.181951000000002</v>
      </c>
      <c r="J31" s="1256">
        <v>22.802582000000001</v>
      </c>
      <c r="K31" s="388"/>
      <c r="L31" s="12"/>
      <c r="M31" s="388"/>
      <c r="N31" s="980"/>
      <c r="O31" s="965" t="s">
        <v>890</v>
      </c>
      <c r="P31" s="966">
        <f>C16/1000000000</f>
        <v>0.959893</v>
      </c>
      <c r="Q31" s="967">
        <f>P31/$P$33</f>
        <v>1.5729980131803743E-2</v>
      </c>
      <c r="R31" s="485">
        <v>2</v>
      </c>
      <c r="S31" s="948"/>
      <c r="T31" s="948"/>
      <c r="U31" s="948"/>
      <c r="V31" s="948"/>
      <c r="W31" s="948"/>
      <c r="X31" s="948"/>
      <c r="Y31" s="948"/>
      <c r="Z31" s="948"/>
      <c r="AA31" s="948"/>
      <c r="AB31" s="948"/>
      <c r="AC31" s="948"/>
      <c r="AD31" s="948"/>
      <c r="AE31" s="948"/>
      <c r="AF31" s="948"/>
      <c r="AG31" s="948"/>
      <c r="AH31" s="948"/>
      <c r="AI31" s="948"/>
      <c r="AJ31" s="948"/>
      <c r="AK31" s="948"/>
      <c r="AL31" s="948"/>
      <c r="AM31" s="948"/>
      <c r="AN31" s="948"/>
      <c r="AO31" s="948"/>
      <c r="AP31" s="948"/>
      <c r="AQ31" s="948"/>
      <c r="AR31" s="948"/>
      <c r="AS31" s="948"/>
      <c r="AT31" s="948"/>
      <c r="AU31" s="948"/>
      <c r="AV31" s="948"/>
      <c r="AW31" s="948"/>
      <c r="AX31" s="948"/>
      <c r="AY31" s="948"/>
      <c r="AZ31" s="948"/>
      <c r="BA31" s="948"/>
      <c r="BB31" s="948"/>
      <c r="BC31" s="948"/>
      <c r="BD31" s="948"/>
      <c r="BE31" s="948"/>
      <c r="BF31" s="948"/>
      <c r="BG31" s="948"/>
      <c r="BH31" s="948"/>
      <c r="BI31" s="948"/>
      <c r="BJ31" s="948"/>
      <c r="BK31" s="948"/>
      <c r="BL31" s="948"/>
      <c r="BM31" s="948"/>
      <c r="BN31" s="948"/>
      <c r="BO31" s="948"/>
      <c r="BP31" s="948"/>
      <c r="BQ31" s="948"/>
      <c r="BR31" s="948"/>
      <c r="BS31" s="948"/>
      <c r="BT31" s="948"/>
      <c r="BU31" s="948"/>
      <c r="BV31" s="948"/>
      <c r="BW31" s="948"/>
      <c r="BX31" s="948"/>
      <c r="BY31" s="948"/>
      <c r="BZ31" s="948"/>
      <c r="CA31" s="948"/>
      <c r="CB31" s="948"/>
      <c r="CC31" s="948"/>
      <c r="CD31" s="948"/>
      <c r="CE31" s="948"/>
      <c r="CF31" s="948"/>
      <c r="CG31" s="948"/>
      <c r="CH31" s="948"/>
      <c r="CI31" s="948"/>
      <c r="CJ31" s="948"/>
      <c r="CK31" s="948"/>
      <c r="CL31" s="948"/>
      <c r="CM31" s="948"/>
      <c r="CN31" s="948"/>
      <c r="CO31" s="948"/>
      <c r="CP31" s="948"/>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row>
    <row r="32" spans="1:226" ht="15.75" customHeight="1">
      <c r="A32" s="13" t="s">
        <v>12</v>
      </c>
      <c r="B32" s="3" t="s">
        <v>13</v>
      </c>
      <c r="C32" s="3" t="s">
        <v>13</v>
      </c>
      <c r="D32" s="1184"/>
      <c r="E32" s="1185"/>
      <c r="F32" s="913"/>
      <c r="G32" s="388"/>
      <c r="H32" s="485">
        <v>2013</v>
      </c>
      <c r="I32" s="1256">
        <v>16.791968000000001</v>
      </c>
      <c r="J32" s="1256">
        <v>23.161975000000002</v>
      </c>
      <c r="K32" s="388"/>
      <c r="L32" s="12"/>
      <c r="M32" s="388"/>
      <c r="N32" s="980"/>
      <c r="O32" s="965" t="s">
        <v>892</v>
      </c>
      <c r="P32" s="966">
        <f>C17/1000000000</f>
        <v>38.271169999999998</v>
      </c>
      <c r="Q32" s="967">
        <f>P32/$P$33</f>
        <v>0.62715817671436647</v>
      </c>
      <c r="R32" s="485">
        <v>56</v>
      </c>
      <c r="S32" s="948"/>
      <c r="T32" s="948"/>
      <c r="U32" s="948"/>
      <c r="V32" s="948"/>
      <c r="W32" s="948"/>
      <c r="X32" s="948"/>
      <c r="Y32" s="948"/>
      <c r="Z32" s="948"/>
      <c r="AA32" s="948"/>
      <c r="AB32" s="948"/>
      <c r="AC32" s="948"/>
      <c r="AD32" s="948"/>
      <c r="AE32" s="948"/>
      <c r="AF32" s="948"/>
      <c r="AG32" s="948"/>
      <c r="AH32" s="948"/>
      <c r="AI32" s="948"/>
      <c r="AJ32" s="948"/>
      <c r="AK32" s="948"/>
      <c r="AL32" s="948"/>
      <c r="AM32" s="948"/>
      <c r="AN32" s="948"/>
      <c r="AO32" s="948"/>
      <c r="AP32" s="948"/>
      <c r="AQ32" s="948"/>
      <c r="AR32" s="948"/>
      <c r="AS32" s="948"/>
      <c r="AT32" s="948"/>
      <c r="AU32" s="948"/>
      <c r="AV32" s="948"/>
      <c r="AW32" s="948"/>
      <c r="AX32" s="948"/>
      <c r="AY32" s="948"/>
      <c r="AZ32" s="948"/>
      <c r="BA32" s="948"/>
      <c r="BB32" s="948"/>
      <c r="BC32" s="948"/>
      <c r="BD32" s="948"/>
      <c r="BE32" s="948"/>
      <c r="BF32" s="948"/>
      <c r="BG32" s="948"/>
      <c r="BH32" s="948"/>
      <c r="BI32" s="948"/>
      <c r="BJ32" s="948"/>
      <c r="BK32" s="948"/>
      <c r="BL32" s="948"/>
      <c r="BM32" s="948"/>
      <c r="BN32" s="948"/>
      <c r="BO32" s="948"/>
      <c r="BP32" s="948"/>
      <c r="BQ32" s="948"/>
      <c r="BR32" s="948"/>
      <c r="BS32" s="948"/>
      <c r="BT32" s="948"/>
      <c r="BU32" s="948"/>
      <c r="BV32" s="948"/>
      <c r="BW32" s="948"/>
      <c r="BX32" s="948"/>
      <c r="BY32" s="948"/>
      <c r="BZ32" s="948"/>
      <c r="CA32" s="948"/>
      <c r="CB32" s="948"/>
      <c r="CC32" s="948"/>
      <c r="CD32" s="948"/>
      <c r="CE32" s="948"/>
      <c r="CF32" s="948"/>
      <c r="CG32" s="948"/>
      <c r="CH32" s="948"/>
      <c r="CI32" s="948"/>
      <c r="CJ32" s="948"/>
      <c r="CK32" s="948"/>
      <c r="CL32" s="948"/>
      <c r="CM32" s="948"/>
      <c r="CN32" s="948"/>
      <c r="CO32" s="948"/>
      <c r="CP32" s="948"/>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row>
    <row r="33" spans="1:226" ht="12" customHeight="1">
      <c r="A33" s="2"/>
      <c r="B33" s="2"/>
      <c r="C33" s="2"/>
      <c r="D33" s="1186"/>
      <c r="E33" s="1185"/>
      <c r="F33" s="913"/>
      <c r="G33" s="388"/>
      <c r="H33" s="485">
        <v>2014</v>
      </c>
      <c r="I33" s="1256">
        <v>16.519642999999999</v>
      </c>
      <c r="J33" s="1256">
        <v>24.275392</v>
      </c>
      <c r="K33" s="388"/>
      <c r="L33" s="12"/>
      <c r="M33" s="388"/>
      <c r="N33" s="980"/>
      <c r="O33" s="965" t="s">
        <v>893</v>
      </c>
      <c r="P33" s="966">
        <f>C8/1000000000</f>
        <v>61.023153999999998</v>
      </c>
      <c r="Q33" s="968">
        <f>SUM(Q29:Q32)</f>
        <v>1</v>
      </c>
      <c r="R33" s="485"/>
      <c r="S33" s="948"/>
      <c r="T33" s="948"/>
      <c r="U33" s="948"/>
      <c r="V33" s="948"/>
      <c r="W33" s="948"/>
      <c r="X33" s="948"/>
      <c r="Y33" s="948"/>
      <c r="Z33" s="948"/>
      <c r="AA33" s="948"/>
      <c r="AB33" s="948"/>
      <c r="AC33" s="948"/>
      <c r="AD33" s="948"/>
      <c r="AE33" s="948"/>
      <c r="AF33" s="948"/>
      <c r="AG33" s="948"/>
      <c r="AH33" s="948"/>
      <c r="AI33" s="948"/>
      <c r="AJ33" s="948"/>
      <c r="AK33" s="948"/>
      <c r="AL33" s="948"/>
      <c r="AM33" s="948"/>
      <c r="AN33" s="948"/>
      <c r="AO33" s="948"/>
      <c r="AP33" s="948"/>
      <c r="AQ33" s="948"/>
      <c r="AR33" s="948"/>
      <c r="AS33" s="948"/>
      <c r="AT33" s="948"/>
      <c r="AU33" s="948"/>
      <c r="AV33" s="948"/>
      <c r="AW33" s="948"/>
      <c r="AX33" s="948"/>
      <c r="AY33" s="948"/>
      <c r="AZ33" s="948"/>
      <c r="BA33" s="948"/>
      <c r="BB33" s="948"/>
      <c r="BC33" s="948"/>
      <c r="BD33" s="948"/>
      <c r="BE33" s="948"/>
      <c r="BF33" s="948"/>
      <c r="BG33" s="948"/>
      <c r="BH33" s="948"/>
      <c r="BI33" s="948"/>
      <c r="BJ33" s="948"/>
      <c r="BK33" s="948"/>
      <c r="BL33" s="948"/>
      <c r="BM33" s="948"/>
      <c r="BN33" s="948"/>
      <c r="BO33" s="948"/>
      <c r="BP33" s="948"/>
      <c r="BQ33" s="948"/>
      <c r="BR33" s="948"/>
      <c r="BS33" s="948"/>
      <c r="BT33" s="948"/>
      <c r="BU33" s="948"/>
      <c r="BV33" s="948"/>
      <c r="BW33" s="948"/>
      <c r="BX33" s="948"/>
      <c r="BY33" s="948"/>
      <c r="BZ33" s="948"/>
      <c r="CA33" s="948"/>
      <c r="CB33" s="948"/>
      <c r="CC33" s="948"/>
      <c r="CD33" s="948"/>
      <c r="CE33" s="948"/>
      <c r="CF33" s="948"/>
      <c r="CG33" s="948"/>
      <c r="CH33" s="948"/>
      <c r="CI33" s="948"/>
      <c r="CJ33" s="948"/>
      <c r="CK33" s="948"/>
      <c r="CL33" s="948"/>
      <c r="CM33" s="948"/>
      <c r="CN33" s="948"/>
      <c r="CO33" s="948"/>
      <c r="CP33" s="948"/>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row>
    <row r="34" spans="1:226" ht="15" customHeight="1">
      <c r="A34" s="2" t="s">
        <v>14</v>
      </c>
      <c r="B34" s="32">
        <v>47419427.090000004</v>
      </c>
      <c r="C34" s="32">
        <f>46141801.78</f>
        <v>46141801.780000001</v>
      </c>
      <c r="D34" s="1187"/>
      <c r="E34" s="1202">
        <f>C34/B34-1</f>
        <v>-2.6943077730043563E-2</v>
      </c>
      <c r="F34" s="913"/>
      <c r="G34" s="388"/>
      <c r="H34" s="485">
        <v>2015</v>
      </c>
      <c r="I34" s="1257">
        <v>17.856570999999999</v>
      </c>
      <c r="J34" s="1257">
        <v>24.805219000000001</v>
      </c>
      <c r="K34" s="388"/>
      <c r="L34" s="12"/>
      <c r="M34" s="388"/>
      <c r="N34" s="980"/>
      <c r="O34" s="965"/>
      <c r="P34" s="965">
        <f>34.3+1.4+1.6+62.7</f>
        <v>100</v>
      </c>
      <c r="Q34" s="485"/>
      <c r="R34" s="485"/>
      <c r="S34" s="948"/>
      <c r="T34" s="948"/>
      <c r="U34" s="948"/>
      <c r="V34" s="948"/>
      <c r="W34" s="948"/>
      <c r="X34" s="948"/>
      <c r="Y34" s="948"/>
      <c r="Z34" s="948"/>
      <c r="AA34" s="948"/>
      <c r="AB34" s="948"/>
      <c r="AC34" s="948"/>
      <c r="AD34" s="948"/>
      <c r="AE34" s="948"/>
      <c r="AF34" s="948"/>
      <c r="AG34" s="948"/>
      <c r="AH34" s="948"/>
      <c r="AI34" s="948"/>
      <c r="AJ34" s="948"/>
      <c r="AK34" s="948"/>
      <c r="AL34" s="948"/>
      <c r="AM34" s="948"/>
      <c r="AN34" s="948"/>
      <c r="AO34" s="948"/>
      <c r="AP34" s="948"/>
      <c r="AQ34" s="948"/>
      <c r="AR34" s="948"/>
      <c r="AS34" s="948"/>
      <c r="AT34" s="948"/>
      <c r="AU34" s="948"/>
      <c r="AV34" s="948"/>
      <c r="AW34" s="948"/>
      <c r="AX34" s="948"/>
      <c r="AY34" s="948"/>
      <c r="AZ34" s="948"/>
      <c r="BA34" s="948"/>
      <c r="BB34" s="948"/>
      <c r="BC34" s="948"/>
      <c r="BD34" s="948"/>
      <c r="BE34" s="948"/>
      <c r="BF34" s="948"/>
      <c r="BG34" s="948"/>
      <c r="BH34" s="948"/>
      <c r="BI34" s="948"/>
      <c r="BJ34" s="948"/>
      <c r="BK34" s="948"/>
      <c r="BL34" s="948"/>
      <c r="BM34" s="948"/>
      <c r="BN34" s="948"/>
      <c r="BO34" s="948"/>
      <c r="BP34" s="948"/>
      <c r="BQ34" s="948"/>
      <c r="BR34" s="948"/>
      <c r="BS34" s="948"/>
      <c r="BT34" s="948"/>
      <c r="BU34" s="948"/>
      <c r="BV34" s="948"/>
      <c r="BW34" s="948"/>
      <c r="BX34" s="948"/>
      <c r="BY34" s="948"/>
      <c r="BZ34" s="948"/>
      <c r="CA34" s="948"/>
      <c r="CB34" s="948"/>
      <c r="CC34" s="948"/>
      <c r="CD34" s="948"/>
      <c r="CE34" s="948"/>
      <c r="CF34" s="948"/>
      <c r="CG34" s="948"/>
      <c r="CH34" s="948"/>
      <c r="CI34" s="948"/>
      <c r="CJ34" s="948"/>
      <c r="CK34" s="948"/>
      <c r="CL34" s="948"/>
      <c r="CM34" s="948"/>
      <c r="CN34" s="948"/>
      <c r="CO34" s="948"/>
      <c r="CP34" s="948"/>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row>
    <row r="35" spans="1:226" ht="15" customHeight="1">
      <c r="A35" s="2" t="s">
        <v>15</v>
      </c>
      <c r="B35" s="4">
        <v>4387603.17</v>
      </c>
      <c r="C35" s="1">
        <f>4532077.97</f>
        <v>4532077.97</v>
      </c>
      <c r="D35" s="1187"/>
      <c r="E35" s="1202">
        <f>C35/B35-1</f>
        <v>3.2927955059345093E-2</v>
      </c>
      <c r="F35" s="913"/>
      <c r="G35" s="388"/>
      <c r="H35" s="485">
        <v>2016</v>
      </c>
      <c r="I35" s="1258">
        <v>18.170459999999999</v>
      </c>
      <c r="J35" s="1258">
        <v>25.279826</v>
      </c>
      <c r="K35" s="388"/>
      <c r="L35" s="12"/>
      <c r="M35" s="388"/>
      <c r="N35" s="980"/>
      <c r="O35" s="980"/>
      <c r="P35" s="980"/>
      <c r="Q35" s="388"/>
      <c r="R35" s="485"/>
      <c r="S35" s="948"/>
      <c r="T35" s="948"/>
      <c r="U35" s="948"/>
      <c r="V35" s="948"/>
      <c r="W35" s="948"/>
      <c r="X35" s="948"/>
      <c r="Y35" s="948"/>
      <c r="Z35" s="948"/>
      <c r="AA35" s="948"/>
      <c r="AB35" s="948"/>
      <c r="AC35" s="948"/>
      <c r="AD35" s="948"/>
      <c r="AE35" s="948"/>
      <c r="AF35" s="948"/>
      <c r="AG35" s="948"/>
      <c r="AH35" s="948"/>
      <c r="AI35" s="948"/>
      <c r="AJ35" s="948"/>
      <c r="AK35" s="948"/>
      <c r="AL35" s="948"/>
      <c r="AM35" s="948"/>
      <c r="AN35" s="948"/>
      <c r="AO35" s="948"/>
      <c r="AP35" s="948"/>
      <c r="AQ35" s="948"/>
      <c r="AR35" s="948"/>
      <c r="AS35" s="948"/>
      <c r="AT35" s="948"/>
      <c r="AU35" s="948"/>
      <c r="AV35" s="948"/>
      <c r="AW35" s="948"/>
      <c r="AX35" s="948"/>
      <c r="AY35" s="948"/>
      <c r="AZ35" s="948"/>
      <c r="BA35" s="948"/>
      <c r="BB35" s="948"/>
      <c r="BC35" s="948"/>
      <c r="BD35" s="948"/>
      <c r="BE35" s="948"/>
      <c r="BF35" s="948"/>
      <c r="BG35" s="948"/>
      <c r="BH35" s="948"/>
      <c r="BI35" s="948"/>
      <c r="BJ35" s="948"/>
      <c r="BK35" s="948"/>
      <c r="BL35" s="948"/>
      <c r="BM35" s="948"/>
      <c r="BN35" s="948"/>
      <c r="BO35" s="948"/>
      <c r="BP35" s="948"/>
      <c r="BQ35" s="948"/>
      <c r="BR35" s="948"/>
      <c r="BS35" s="948"/>
      <c r="BT35" s="948"/>
      <c r="BU35" s="948"/>
      <c r="BV35" s="948"/>
      <c r="BW35" s="948"/>
      <c r="BX35" s="948"/>
      <c r="BY35" s="948"/>
      <c r="BZ35" s="948"/>
      <c r="CA35" s="948"/>
      <c r="CB35" s="948"/>
      <c r="CC35" s="948"/>
      <c r="CD35" s="948"/>
      <c r="CE35" s="948"/>
      <c r="CF35" s="948"/>
      <c r="CG35" s="948"/>
      <c r="CH35" s="948"/>
      <c r="CI35" s="948"/>
      <c r="CJ35" s="948"/>
      <c r="CK35" s="948"/>
      <c r="CL35" s="948"/>
      <c r="CM35" s="948"/>
      <c r="CN35" s="948"/>
      <c r="CO35" s="948"/>
      <c r="CP35" s="948"/>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row>
    <row r="36" spans="1:226" ht="15" customHeight="1">
      <c r="A36" s="969" t="s">
        <v>1043</v>
      </c>
      <c r="B36" s="398">
        <v>565897.71</v>
      </c>
      <c r="C36" s="398">
        <f>754884.83-223900</f>
        <v>530984.82999999996</v>
      </c>
      <c r="D36" s="1187"/>
      <c r="E36" s="1202">
        <f>C36/B36-1</f>
        <v>-6.1694683302394027E-2</v>
      </c>
      <c r="F36" s="913"/>
      <c r="G36" s="388"/>
      <c r="H36" s="485">
        <v>2017</v>
      </c>
      <c r="I36" s="1259">
        <v>18.839827</v>
      </c>
      <c r="J36" s="1259">
        <v>26.073523000000002</v>
      </c>
      <c r="K36" s="388"/>
      <c r="L36" s="12"/>
      <c r="M36" s="388"/>
      <c r="N36" s="980"/>
      <c r="O36" s="980"/>
      <c r="P36" s="980"/>
      <c r="Q36" s="388"/>
      <c r="R36" s="948"/>
      <c r="S36" s="948"/>
      <c r="T36" s="948"/>
      <c r="U36" s="948"/>
      <c r="V36" s="948"/>
      <c r="W36" s="948"/>
      <c r="X36" s="948"/>
      <c r="Y36" s="948"/>
      <c r="Z36" s="948"/>
      <c r="AA36" s="948"/>
      <c r="AB36" s="948"/>
      <c r="AC36" s="948"/>
      <c r="AD36" s="948"/>
      <c r="AE36" s="948"/>
      <c r="AF36" s="948"/>
      <c r="AG36" s="948"/>
      <c r="AH36" s="948"/>
      <c r="AI36" s="948"/>
      <c r="AJ36" s="948"/>
      <c r="AK36" s="948"/>
      <c r="AL36" s="948"/>
      <c r="AM36" s="948"/>
      <c r="AN36" s="948"/>
      <c r="AO36" s="948"/>
      <c r="AP36" s="948"/>
      <c r="AQ36" s="948"/>
      <c r="AR36" s="948"/>
      <c r="AS36" s="948"/>
      <c r="AT36" s="948"/>
      <c r="AU36" s="948"/>
      <c r="AV36" s="948"/>
      <c r="AW36" s="948"/>
      <c r="AX36" s="948"/>
      <c r="AY36" s="948"/>
      <c r="AZ36" s="948"/>
      <c r="BA36" s="948"/>
      <c r="BB36" s="948"/>
      <c r="BC36" s="948"/>
      <c r="BD36" s="948"/>
      <c r="BE36" s="948"/>
      <c r="BF36" s="948"/>
      <c r="BG36" s="948"/>
      <c r="BH36" s="948"/>
      <c r="BI36" s="948"/>
      <c r="BJ36" s="948"/>
      <c r="BK36" s="948"/>
      <c r="BL36" s="948"/>
      <c r="BM36" s="948"/>
      <c r="BN36" s="948"/>
      <c r="BO36" s="948"/>
      <c r="BP36" s="948"/>
      <c r="BQ36" s="948"/>
      <c r="BR36" s="948"/>
      <c r="BS36" s="948"/>
      <c r="BT36" s="948"/>
      <c r="BU36" s="948"/>
      <c r="BV36" s="948"/>
      <c r="BW36" s="948"/>
      <c r="BX36" s="948"/>
      <c r="BY36" s="948"/>
      <c r="BZ36" s="948"/>
      <c r="CA36" s="948"/>
      <c r="CB36" s="948"/>
      <c r="CC36" s="948"/>
      <c r="CD36" s="948"/>
      <c r="CE36" s="948"/>
      <c r="CF36" s="948"/>
      <c r="CG36" s="948"/>
      <c r="CH36" s="948"/>
      <c r="CI36" s="948"/>
      <c r="CJ36" s="948"/>
      <c r="CK36" s="948"/>
      <c r="CL36" s="948"/>
      <c r="CM36" s="948"/>
      <c r="CN36" s="948"/>
      <c r="CO36" s="948"/>
      <c r="CP36" s="948"/>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row>
    <row r="37" spans="1:226" ht="15" customHeight="1">
      <c r="A37" s="2" t="s">
        <v>16</v>
      </c>
      <c r="B37" s="1">
        <v>54180385.009999998</v>
      </c>
      <c r="C37" s="1">
        <f>50055446.57</f>
        <v>50055446.57</v>
      </c>
      <c r="D37" s="1187"/>
      <c r="E37" s="1202">
        <f>C37/B37-1</f>
        <v>-7.6133427978384849E-2</v>
      </c>
      <c r="F37" s="913"/>
      <c r="G37" s="388"/>
      <c r="H37" s="485">
        <v>2018</v>
      </c>
      <c r="I37" s="1259">
        <v>20.02402</v>
      </c>
      <c r="J37" s="1259">
        <v>27.608806000000001</v>
      </c>
      <c r="K37" s="388"/>
      <c r="L37" s="12"/>
      <c r="M37" s="388"/>
      <c r="N37" s="980"/>
      <c r="O37" s="980"/>
      <c r="P37" s="980"/>
      <c r="Q37" s="948"/>
      <c r="R37" s="948"/>
      <c r="S37" s="948"/>
      <c r="T37" s="948"/>
      <c r="U37" s="948"/>
      <c r="V37" s="948"/>
      <c r="W37" s="948"/>
      <c r="X37" s="948"/>
      <c r="Y37" s="948"/>
      <c r="Z37" s="948"/>
      <c r="AA37" s="948"/>
      <c r="AB37" s="948"/>
      <c r="AC37" s="948"/>
      <c r="AD37" s="948"/>
      <c r="AE37" s="948"/>
      <c r="AF37" s="948"/>
      <c r="AG37" s="948"/>
      <c r="AH37" s="948"/>
      <c r="AI37" s="948"/>
      <c r="AJ37" s="948"/>
      <c r="AK37" s="948"/>
      <c r="AL37" s="948"/>
      <c r="AM37" s="948"/>
      <c r="AN37" s="948"/>
      <c r="AO37" s="948"/>
      <c r="AP37" s="948"/>
      <c r="AQ37" s="948"/>
      <c r="AR37" s="948"/>
      <c r="AS37" s="948"/>
      <c r="AT37" s="948"/>
      <c r="AU37" s="948"/>
      <c r="AV37" s="948"/>
      <c r="AW37" s="948"/>
      <c r="AX37" s="948"/>
      <c r="AY37" s="948"/>
      <c r="AZ37" s="948"/>
      <c r="BA37" s="948"/>
      <c r="BB37" s="948"/>
      <c r="BC37" s="948"/>
      <c r="BD37" s="948"/>
      <c r="BE37" s="948"/>
      <c r="BF37" s="948"/>
      <c r="BG37" s="948"/>
      <c r="BH37" s="948"/>
      <c r="BI37" s="948"/>
      <c r="BJ37" s="948"/>
      <c r="BK37" s="948"/>
      <c r="BL37" s="948"/>
      <c r="BM37" s="948"/>
      <c r="BN37" s="948"/>
      <c r="BO37" s="948"/>
      <c r="BP37" s="948"/>
      <c r="BQ37" s="948"/>
      <c r="BR37" s="948"/>
      <c r="BS37" s="948"/>
      <c r="BT37" s="948"/>
      <c r="BU37" s="948"/>
      <c r="BV37" s="948"/>
      <c r="BW37" s="948"/>
      <c r="BX37" s="948"/>
      <c r="BY37" s="948"/>
      <c r="BZ37" s="948"/>
      <c r="CA37" s="948"/>
      <c r="CB37" s="948"/>
      <c r="CC37" s="948"/>
      <c r="CD37" s="948"/>
      <c r="CE37" s="948"/>
      <c r="CF37" s="948"/>
      <c r="CG37" s="948"/>
      <c r="CH37" s="948"/>
      <c r="CI37" s="948"/>
      <c r="CJ37" s="948"/>
      <c r="CK37" s="948"/>
      <c r="CL37" s="948"/>
      <c r="CM37" s="948"/>
      <c r="CN37" s="948"/>
      <c r="CO37" s="948"/>
      <c r="CP37" s="948"/>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row>
    <row r="38" spans="1:226" ht="13.5" customHeight="1">
      <c r="A38" s="2"/>
      <c r="B38" s="32"/>
      <c r="C38" s="32"/>
      <c r="D38" s="1189"/>
      <c r="E38" s="1188"/>
      <c r="F38" s="913"/>
      <c r="G38" s="388"/>
      <c r="H38" s="485">
        <v>2019</v>
      </c>
      <c r="I38" s="1259">
        <v>21.467093999999999</v>
      </c>
      <c r="J38" s="1259">
        <v>29.225445000000001</v>
      </c>
      <c r="K38" s="388"/>
      <c r="L38" s="12"/>
      <c r="M38" s="388"/>
      <c r="N38" s="980"/>
      <c r="O38" s="980"/>
      <c r="P38" s="980"/>
      <c r="Q38" s="948"/>
      <c r="R38" s="948"/>
      <c r="S38" s="948"/>
      <c r="T38" s="948"/>
      <c r="U38" s="948"/>
      <c r="V38" s="948"/>
      <c r="W38" s="948"/>
      <c r="X38" s="948"/>
      <c r="Y38" s="948"/>
      <c r="Z38" s="948"/>
      <c r="AA38" s="948"/>
      <c r="AB38" s="948"/>
      <c r="AC38" s="948"/>
      <c r="AD38" s="948"/>
      <c r="AE38" s="948"/>
      <c r="AF38" s="948"/>
      <c r="AG38" s="948"/>
      <c r="AH38" s="948"/>
      <c r="AI38" s="948"/>
      <c r="AJ38" s="948"/>
      <c r="AK38" s="948"/>
      <c r="AL38" s="948"/>
      <c r="AM38" s="948"/>
      <c r="AN38" s="948"/>
      <c r="AO38" s="948"/>
      <c r="AP38" s="948"/>
      <c r="AQ38" s="948"/>
      <c r="AR38" s="948"/>
      <c r="AS38" s="948"/>
      <c r="AT38" s="948"/>
      <c r="AU38" s="948"/>
      <c r="AV38" s="948"/>
      <c r="AW38" s="948"/>
      <c r="AX38" s="948"/>
      <c r="AY38" s="948"/>
      <c r="AZ38" s="948"/>
      <c r="BA38" s="948"/>
      <c r="BB38" s="948"/>
      <c r="BC38" s="948"/>
      <c r="BD38" s="948"/>
      <c r="BE38" s="948"/>
      <c r="BF38" s="948"/>
      <c r="BG38" s="948"/>
      <c r="BH38" s="948"/>
      <c r="BI38" s="948"/>
      <c r="BJ38" s="948"/>
      <c r="BK38" s="948"/>
      <c r="BL38" s="948"/>
      <c r="BM38" s="948"/>
      <c r="BN38" s="948"/>
      <c r="BO38" s="948"/>
      <c r="BP38" s="948"/>
      <c r="BQ38" s="948"/>
      <c r="BR38" s="948"/>
      <c r="BS38" s="948"/>
      <c r="BT38" s="948"/>
      <c r="BU38" s="948"/>
      <c r="BV38" s="948"/>
      <c r="BW38" s="948"/>
      <c r="BX38" s="948"/>
      <c r="BY38" s="948"/>
      <c r="BZ38" s="948"/>
      <c r="CA38" s="948"/>
      <c r="CB38" s="948"/>
      <c r="CC38" s="948"/>
      <c r="CD38" s="948"/>
      <c r="CE38" s="948"/>
      <c r="CF38" s="948"/>
      <c r="CG38" s="948"/>
      <c r="CH38" s="948"/>
      <c r="CI38" s="948"/>
      <c r="CJ38" s="948"/>
      <c r="CK38" s="948"/>
      <c r="CL38" s="948"/>
      <c r="CM38" s="948"/>
      <c r="CN38" s="948"/>
      <c r="CO38" s="948"/>
      <c r="CP38" s="948"/>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row>
    <row r="39" spans="1:226" ht="15.75" customHeight="1" thickBot="1">
      <c r="A39" s="33" t="s">
        <v>17</v>
      </c>
      <c r="B39" s="34">
        <f>SUM(B34:B37)</f>
        <v>106553312.98</v>
      </c>
      <c r="C39" s="34">
        <f>SUM(C34:C37)</f>
        <v>101260311.15000001</v>
      </c>
      <c r="D39" s="1189"/>
      <c r="E39" s="1188"/>
      <c r="F39" s="11"/>
      <c r="G39" s="388"/>
      <c r="H39" s="485">
        <v>2020</v>
      </c>
      <c r="I39" s="1259">
        <f>C6/1000000000</f>
        <v>21.903570999999999</v>
      </c>
      <c r="J39" s="1259">
        <f>C7/1000000000</f>
        <v>39.119582999999999</v>
      </c>
      <c r="K39" s="388"/>
      <c r="L39" s="12"/>
      <c r="M39" s="388"/>
      <c r="N39" s="980"/>
      <c r="O39" s="980"/>
      <c r="P39" s="980"/>
      <c r="Q39" s="948"/>
      <c r="R39" s="948"/>
      <c r="S39" s="948"/>
      <c r="T39" s="948"/>
      <c r="U39" s="948"/>
      <c r="V39" s="948"/>
      <c r="W39" s="948"/>
      <c r="X39" s="948"/>
      <c r="Y39" s="948"/>
      <c r="Z39" s="948"/>
      <c r="AA39" s="948"/>
      <c r="AB39" s="948"/>
      <c r="AC39" s="948"/>
      <c r="AD39" s="948"/>
      <c r="AE39" s="948"/>
      <c r="AF39" s="948"/>
      <c r="AG39" s="948"/>
      <c r="AH39" s="948"/>
      <c r="AI39" s="948"/>
      <c r="AJ39" s="948"/>
      <c r="AK39" s="948"/>
      <c r="AL39" s="948"/>
      <c r="AM39" s="948"/>
      <c r="AN39" s="948"/>
      <c r="AO39" s="948"/>
      <c r="AP39" s="948"/>
      <c r="AQ39" s="948"/>
      <c r="AR39" s="948"/>
      <c r="AS39" s="948"/>
      <c r="AT39" s="948"/>
      <c r="AU39" s="948"/>
      <c r="AV39" s="948"/>
      <c r="AW39" s="948"/>
      <c r="AX39" s="948"/>
      <c r="AY39" s="948"/>
      <c r="AZ39" s="948"/>
      <c r="BA39" s="948"/>
      <c r="BB39" s="948"/>
      <c r="BC39" s="948"/>
      <c r="BD39" s="948"/>
      <c r="BE39" s="948"/>
      <c r="BF39" s="948"/>
      <c r="BG39" s="948"/>
      <c r="BH39" s="948"/>
      <c r="BI39" s="948"/>
      <c r="BJ39" s="948"/>
      <c r="BK39" s="948"/>
      <c r="BL39" s="948"/>
      <c r="BM39" s="948"/>
      <c r="BN39" s="948"/>
      <c r="BO39" s="948"/>
      <c r="BP39" s="948"/>
      <c r="BQ39" s="948"/>
      <c r="BR39" s="948"/>
      <c r="BS39" s="948"/>
      <c r="BT39" s="948"/>
      <c r="BU39" s="948"/>
      <c r="BV39" s="948"/>
      <c r="BW39" s="948"/>
      <c r="BX39" s="948"/>
      <c r="BY39" s="948"/>
      <c r="BZ39" s="948"/>
      <c r="CA39" s="948"/>
      <c r="CB39" s="948"/>
      <c r="CC39" s="948"/>
      <c r="CD39" s="948"/>
      <c r="CE39" s="948"/>
      <c r="CF39" s="948"/>
      <c r="CG39" s="948"/>
      <c r="CH39" s="948"/>
      <c r="CI39" s="948"/>
      <c r="CJ39" s="948"/>
      <c r="CK39" s="948"/>
      <c r="CL39" s="948"/>
      <c r="CM39" s="948"/>
      <c r="CN39" s="948"/>
      <c r="CO39" s="948"/>
      <c r="CP39" s="948"/>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row>
    <row r="40" spans="1:226" ht="14.1" customHeight="1" thickTop="1">
      <c r="A40" s="35"/>
      <c r="B40" s="36"/>
      <c r="C40" s="36"/>
      <c r="D40" s="1189"/>
      <c r="E40" s="1185"/>
      <c r="F40" s="11"/>
      <c r="G40" s="388"/>
      <c r="H40" s="388"/>
      <c r="I40" s="565"/>
      <c r="J40" s="565"/>
      <c r="K40" s="388"/>
      <c r="L40" s="12"/>
      <c r="M40" s="948"/>
      <c r="Q40" s="948"/>
      <c r="R40" s="948"/>
      <c r="S40" s="948"/>
      <c r="T40" s="948"/>
      <c r="U40" s="948"/>
      <c r="V40" s="948"/>
      <c r="W40" s="948"/>
      <c r="X40" s="948"/>
      <c r="Y40" s="948"/>
      <c r="Z40" s="948"/>
      <c r="AA40" s="948"/>
      <c r="AB40" s="948"/>
      <c r="AC40" s="948"/>
      <c r="AD40" s="948"/>
      <c r="AE40" s="948"/>
      <c r="AF40" s="948"/>
      <c r="AG40" s="948"/>
      <c r="AH40" s="948"/>
      <c r="AI40" s="948"/>
      <c r="AJ40" s="948"/>
      <c r="AK40" s="948"/>
      <c r="AL40" s="948"/>
      <c r="AM40" s="948"/>
      <c r="AN40" s="948"/>
      <c r="AO40" s="948"/>
      <c r="AP40" s="948"/>
      <c r="AQ40" s="948"/>
      <c r="AR40" s="948"/>
      <c r="AS40" s="948"/>
      <c r="AT40" s="948"/>
      <c r="AU40" s="948"/>
      <c r="AV40" s="948"/>
      <c r="AW40" s="948"/>
      <c r="AX40" s="948"/>
      <c r="AY40" s="948"/>
      <c r="AZ40" s="948"/>
      <c r="BA40" s="948"/>
      <c r="BB40" s="948"/>
      <c r="BC40" s="948"/>
      <c r="BD40" s="948"/>
      <c r="BE40" s="948"/>
      <c r="BF40" s="948"/>
      <c r="BG40" s="948"/>
      <c r="BH40" s="948"/>
      <c r="BI40" s="948"/>
      <c r="BJ40" s="948"/>
      <c r="BK40" s="948"/>
      <c r="BL40" s="948"/>
      <c r="BM40" s="948"/>
      <c r="BN40" s="948"/>
      <c r="BO40" s="948"/>
      <c r="BP40" s="948"/>
      <c r="BQ40" s="948"/>
      <c r="BR40" s="948"/>
      <c r="BS40" s="948"/>
      <c r="BT40" s="948"/>
      <c r="BU40" s="948"/>
      <c r="BV40" s="948"/>
      <c r="BW40" s="948"/>
      <c r="BX40" s="948"/>
      <c r="BY40" s="948"/>
      <c r="BZ40" s="948"/>
      <c r="CA40" s="948"/>
      <c r="CB40" s="948"/>
      <c r="CC40" s="948"/>
      <c r="CD40" s="948"/>
      <c r="CE40" s="948"/>
      <c r="CF40" s="948"/>
      <c r="CG40" s="948"/>
      <c r="CH40" s="948"/>
      <c r="CI40" s="948"/>
      <c r="CJ40" s="948"/>
      <c r="CK40" s="948"/>
      <c r="CL40" s="948"/>
      <c r="CM40" s="948"/>
      <c r="CN40" s="948"/>
      <c r="CO40" s="948"/>
      <c r="CP40" s="948"/>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row>
    <row r="41" spans="1:226" ht="15.75" customHeight="1">
      <c r="A41" s="13" t="s">
        <v>18</v>
      </c>
      <c r="B41" s="37">
        <f>B39/B13*100</f>
        <v>0.49848854821911553</v>
      </c>
      <c r="C41" s="37">
        <f>C39/C13*100</f>
        <v>0.46466541989935706</v>
      </c>
      <c r="D41" s="1190"/>
      <c r="E41" s="1185"/>
      <c r="F41" s="11"/>
      <c r="G41" s="388"/>
      <c r="H41" s="980"/>
      <c r="I41" s="980"/>
      <c r="J41" s="980"/>
      <c r="K41" s="388"/>
      <c r="L41" s="12"/>
      <c r="M41" s="948"/>
      <c r="Q41" s="948"/>
      <c r="R41" s="948"/>
      <c r="S41" s="948"/>
      <c r="T41" s="948"/>
      <c r="U41" s="948"/>
      <c r="V41" s="948"/>
      <c r="W41" s="948"/>
      <c r="X41" s="948"/>
      <c r="Y41" s="948"/>
      <c r="Z41" s="948"/>
      <c r="AA41" s="948"/>
      <c r="AB41" s="948"/>
      <c r="AC41" s="948"/>
      <c r="AD41" s="948"/>
      <c r="AE41" s="948"/>
      <c r="AF41" s="948"/>
      <c r="AG41" s="948"/>
      <c r="AH41" s="948"/>
      <c r="AI41" s="948"/>
      <c r="AJ41" s="948"/>
      <c r="AK41" s="948"/>
      <c r="AL41" s="948"/>
      <c r="AM41" s="948"/>
      <c r="AN41" s="948"/>
      <c r="AO41" s="948"/>
      <c r="AP41" s="948"/>
      <c r="AQ41" s="948"/>
      <c r="AR41" s="948"/>
      <c r="AS41" s="948"/>
      <c r="AT41" s="948"/>
      <c r="AU41" s="948"/>
      <c r="AV41" s="948"/>
      <c r="AW41" s="948"/>
      <c r="AX41" s="948"/>
      <c r="AY41" s="948"/>
      <c r="AZ41" s="948"/>
      <c r="BA41" s="948"/>
      <c r="BB41" s="948"/>
      <c r="BC41" s="948"/>
      <c r="BD41" s="948"/>
      <c r="BE41" s="948"/>
      <c r="BF41" s="948"/>
      <c r="BG41" s="948"/>
      <c r="BH41" s="948"/>
      <c r="BI41" s="948"/>
      <c r="BJ41" s="948"/>
      <c r="BK41" s="948"/>
      <c r="BL41" s="948"/>
      <c r="BM41" s="948"/>
      <c r="BN41" s="948"/>
      <c r="BO41" s="948"/>
      <c r="BP41" s="948"/>
      <c r="BQ41" s="948"/>
      <c r="BR41" s="948"/>
      <c r="BS41" s="948"/>
      <c r="BT41" s="948"/>
      <c r="BU41" s="948"/>
      <c r="BV41" s="948"/>
      <c r="BW41" s="948"/>
      <c r="BX41" s="948"/>
      <c r="BY41" s="948"/>
      <c r="BZ41" s="948"/>
      <c r="CA41" s="948"/>
      <c r="CB41" s="948"/>
      <c r="CC41" s="948"/>
      <c r="CD41" s="948"/>
      <c r="CE41" s="948"/>
      <c r="CF41" s="948"/>
      <c r="CG41" s="948"/>
      <c r="CH41" s="948"/>
      <c r="CI41" s="948"/>
      <c r="CJ41" s="948"/>
      <c r="CK41" s="948"/>
      <c r="CL41" s="948"/>
      <c r="CM41" s="948"/>
      <c r="CN41" s="948"/>
      <c r="CO41" s="948"/>
      <c r="CP41" s="948"/>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row>
    <row r="42" spans="1:226" ht="14.1" customHeight="1">
      <c r="A42" s="13"/>
      <c r="B42" s="12"/>
      <c r="C42" s="12"/>
      <c r="D42" s="12"/>
      <c r="E42" s="11"/>
      <c r="F42" s="11"/>
      <c r="G42" s="388"/>
      <c r="H42" s="980"/>
      <c r="I42" s="980"/>
      <c r="J42" s="980"/>
      <c r="K42" s="388"/>
      <c r="L42" s="12"/>
      <c r="M42" s="948"/>
      <c r="Q42" s="948"/>
      <c r="R42" s="948"/>
      <c r="S42" s="948"/>
      <c r="T42" s="948"/>
      <c r="U42" s="948"/>
      <c r="V42" s="948"/>
      <c r="W42" s="948"/>
      <c r="X42" s="948"/>
      <c r="Y42" s="948"/>
      <c r="Z42" s="948"/>
      <c r="AA42" s="948"/>
      <c r="AB42" s="948"/>
      <c r="AC42" s="948"/>
      <c r="AD42" s="948"/>
      <c r="AE42" s="948"/>
      <c r="AF42" s="948"/>
      <c r="AG42" s="948"/>
      <c r="AH42" s="948"/>
      <c r="AI42" s="948"/>
      <c r="AJ42" s="948"/>
      <c r="AK42" s="948"/>
      <c r="AL42" s="948"/>
      <c r="AM42" s="948"/>
      <c r="AN42" s="948"/>
      <c r="AO42" s="948"/>
      <c r="AP42" s="948"/>
      <c r="AQ42" s="948"/>
      <c r="AR42" s="948"/>
      <c r="AS42" s="948"/>
      <c r="AT42" s="948"/>
      <c r="AU42" s="948"/>
      <c r="AV42" s="948"/>
      <c r="AW42" s="948"/>
      <c r="AX42" s="948"/>
      <c r="AY42" s="948"/>
      <c r="AZ42" s="948"/>
      <c r="BA42" s="948"/>
      <c r="BB42" s="948"/>
      <c r="BC42" s="948"/>
      <c r="BD42" s="948"/>
      <c r="BE42" s="948"/>
      <c r="BF42" s="948"/>
      <c r="BG42" s="948"/>
      <c r="BH42" s="948"/>
      <c r="BI42" s="948"/>
      <c r="BJ42" s="948"/>
      <c r="BK42" s="948"/>
      <c r="BL42" s="948"/>
      <c r="BM42" s="948"/>
      <c r="BN42" s="948"/>
      <c r="BO42" s="948"/>
      <c r="BP42" s="948"/>
      <c r="BQ42" s="948"/>
      <c r="BR42" s="948"/>
      <c r="BS42" s="948"/>
      <c r="BT42" s="948"/>
      <c r="BU42" s="948"/>
      <c r="BV42" s="948"/>
      <c r="BW42" s="948"/>
      <c r="BX42" s="948"/>
      <c r="BY42" s="948"/>
      <c r="BZ42" s="948"/>
      <c r="CA42" s="948"/>
      <c r="CB42" s="948"/>
      <c r="CC42" s="948"/>
      <c r="CD42" s="948"/>
      <c r="CE42" s="948"/>
      <c r="CF42" s="948"/>
      <c r="CG42" s="948"/>
      <c r="CH42" s="948"/>
      <c r="CI42" s="948"/>
      <c r="CJ42" s="948"/>
      <c r="CK42" s="948"/>
      <c r="CL42" s="948"/>
      <c r="CM42" s="948"/>
      <c r="CN42" s="948"/>
      <c r="CO42" s="948"/>
      <c r="CP42" s="948"/>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row>
    <row r="43" spans="1:226" ht="14.1" customHeight="1">
      <c r="A43" s="12" t="s">
        <v>19</v>
      </c>
      <c r="B43" s="12"/>
      <c r="C43" s="12"/>
      <c r="D43" s="12"/>
      <c r="E43" s="11"/>
      <c r="F43" s="11"/>
      <c r="G43" s="388"/>
      <c r="H43" s="980"/>
      <c r="I43" s="980"/>
      <c r="J43" s="980"/>
      <c r="K43" s="388"/>
      <c r="L43" s="12"/>
      <c r="M43" s="948"/>
      <c r="Q43" s="948"/>
      <c r="R43" s="948"/>
      <c r="S43" s="948"/>
      <c r="T43" s="948"/>
      <c r="U43" s="948"/>
      <c r="V43" s="948"/>
      <c r="W43" s="948"/>
      <c r="X43" s="948"/>
      <c r="Y43" s="948"/>
      <c r="Z43" s="948"/>
      <c r="AA43" s="948"/>
      <c r="AB43" s="948"/>
      <c r="AC43" s="948"/>
      <c r="AD43" s="948"/>
      <c r="AE43" s="948"/>
      <c r="AF43" s="948"/>
      <c r="AG43" s="948"/>
      <c r="AH43" s="948"/>
      <c r="AI43" s="948"/>
      <c r="AJ43" s="948"/>
      <c r="AK43" s="948"/>
      <c r="AL43" s="948"/>
      <c r="AM43" s="948"/>
      <c r="AN43" s="948"/>
      <c r="AO43" s="948"/>
      <c r="AP43" s="948"/>
      <c r="AQ43" s="948"/>
      <c r="AR43" s="948"/>
      <c r="AS43" s="948"/>
      <c r="AT43" s="948"/>
      <c r="AU43" s="948"/>
      <c r="AV43" s="948"/>
      <c r="AW43" s="948"/>
      <c r="AX43" s="948"/>
      <c r="AY43" s="948"/>
      <c r="AZ43" s="948"/>
      <c r="BA43" s="948"/>
      <c r="BB43" s="948"/>
      <c r="BC43" s="948"/>
      <c r="BD43" s="948"/>
      <c r="BE43" s="948"/>
      <c r="BF43" s="948"/>
      <c r="BG43" s="948"/>
      <c r="BH43" s="948"/>
      <c r="BI43" s="948"/>
      <c r="BJ43" s="948"/>
      <c r="BK43" s="948"/>
      <c r="BL43" s="948"/>
      <c r="BM43" s="948"/>
      <c r="BN43" s="948"/>
      <c r="BO43" s="948"/>
      <c r="BP43" s="948"/>
      <c r="BQ43" s="948"/>
      <c r="BR43" s="948"/>
      <c r="BS43" s="948"/>
      <c r="BT43" s="948"/>
      <c r="BU43" s="948"/>
      <c r="BV43" s="948"/>
      <c r="BW43" s="948"/>
      <c r="BX43" s="948"/>
      <c r="BY43" s="948"/>
      <c r="BZ43" s="948"/>
      <c r="CA43" s="948"/>
      <c r="CB43" s="948"/>
      <c r="CC43" s="948"/>
      <c r="CD43" s="948"/>
      <c r="CE43" s="948"/>
      <c r="CF43" s="948"/>
      <c r="CG43" s="948"/>
      <c r="CH43" s="948"/>
      <c r="CI43" s="948"/>
      <c r="CJ43" s="948"/>
      <c r="CK43" s="948"/>
      <c r="CL43" s="948"/>
      <c r="CM43" s="948"/>
      <c r="CN43" s="948"/>
      <c r="CO43" s="948"/>
      <c r="CP43" s="948"/>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row>
    <row r="44" spans="1:226" ht="14.1" customHeight="1">
      <c r="A44" s="970" t="s">
        <v>1044</v>
      </c>
      <c r="B44" s="12"/>
      <c r="C44" s="12"/>
      <c r="D44" s="12"/>
      <c r="E44" s="11"/>
      <c r="F44" s="11"/>
      <c r="G44" s="388"/>
      <c r="H44" s="980"/>
      <c r="I44" s="980"/>
      <c r="J44" s="980"/>
      <c r="K44" s="388"/>
      <c r="L44" s="12"/>
      <c r="M44" s="948"/>
      <c r="Q44" s="948"/>
      <c r="R44" s="948"/>
      <c r="S44" s="948"/>
      <c r="T44" s="948"/>
      <c r="U44" s="948"/>
      <c r="V44" s="948"/>
      <c r="W44" s="948"/>
      <c r="X44" s="948"/>
      <c r="Y44" s="948"/>
      <c r="Z44" s="948"/>
      <c r="AA44" s="948"/>
      <c r="AB44" s="948"/>
      <c r="AC44" s="948"/>
      <c r="AD44" s="948"/>
      <c r="AE44" s="948"/>
      <c r="AF44" s="948"/>
      <c r="AG44" s="948"/>
      <c r="AH44" s="948"/>
      <c r="AI44" s="948"/>
      <c r="AJ44" s="948"/>
      <c r="AK44" s="948"/>
      <c r="AL44" s="948"/>
      <c r="AM44" s="948"/>
      <c r="AN44" s="948"/>
      <c r="AO44" s="948"/>
      <c r="AP44" s="948"/>
      <c r="AQ44" s="948"/>
      <c r="AR44" s="948"/>
      <c r="AS44" s="948"/>
      <c r="AT44" s="948"/>
      <c r="AU44" s="948"/>
      <c r="AV44" s="948"/>
      <c r="AW44" s="948"/>
      <c r="AX44" s="948"/>
      <c r="AY44" s="948"/>
      <c r="AZ44" s="948"/>
      <c r="BA44" s="948"/>
      <c r="BB44" s="948"/>
      <c r="BC44" s="948"/>
      <c r="BD44" s="948"/>
      <c r="BE44" s="948"/>
      <c r="BF44" s="948"/>
      <c r="BG44" s="948"/>
      <c r="BH44" s="948"/>
      <c r="BI44" s="948"/>
      <c r="BJ44" s="948"/>
      <c r="BK44" s="948"/>
      <c r="BL44" s="948"/>
      <c r="BM44" s="948"/>
      <c r="BN44" s="948"/>
      <c r="BO44" s="948"/>
      <c r="BP44" s="948"/>
      <c r="BQ44" s="948"/>
      <c r="BR44" s="948"/>
      <c r="BS44" s="948"/>
      <c r="BT44" s="948"/>
      <c r="BU44" s="948"/>
      <c r="BV44" s="948"/>
      <c r="BW44" s="948"/>
      <c r="BX44" s="948"/>
      <c r="BY44" s="948"/>
      <c r="BZ44" s="948"/>
      <c r="CA44" s="948"/>
      <c r="CB44" s="948"/>
      <c r="CC44" s="948"/>
      <c r="CD44" s="948"/>
      <c r="CE44" s="948"/>
      <c r="CF44" s="948"/>
      <c r="CG44" s="948"/>
      <c r="CH44" s="948"/>
      <c r="CI44" s="948"/>
      <c r="CJ44" s="948"/>
      <c r="CK44" s="948"/>
      <c r="CL44" s="948"/>
      <c r="CM44" s="948"/>
      <c r="CN44" s="948"/>
      <c r="CO44" s="948"/>
      <c r="CP44" s="948"/>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row>
    <row r="45" spans="1:226" ht="14.1" customHeight="1">
      <c r="A45" s="12" t="s">
        <v>1046</v>
      </c>
      <c r="B45" s="12"/>
      <c r="C45" s="12"/>
      <c r="D45" s="12"/>
      <c r="E45" s="11"/>
      <c r="F45" s="11"/>
      <c r="G45" s="388"/>
      <c r="K45" s="388"/>
      <c r="L45" s="12"/>
      <c r="M45" s="948"/>
      <c r="Q45" s="948"/>
      <c r="R45" s="948"/>
      <c r="S45" s="948"/>
      <c r="T45" s="948"/>
      <c r="U45" s="948"/>
      <c r="V45" s="948"/>
      <c r="W45" s="948"/>
      <c r="X45" s="948"/>
      <c r="Y45" s="948"/>
      <c r="Z45" s="948"/>
      <c r="AA45" s="948"/>
      <c r="AB45" s="948"/>
      <c r="AC45" s="948"/>
      <c r="AD45" s="948"/>
      <c r="AE45" s="948"/>
      <c r="AF45" s="948"/>
      <c r="AG45" s="948"/>
      <c r="AH45" s="948"/>
      <c r="AI45" s="948"/>
      <c r="AJ45" s="948"/>
      <c r="AK45" s="948"/>
      <c r="AL45" s="948"/>
      <c r="AM45" s="948"/>
      <c r="AN45" s="948"/>
      <c r="AO45" s="948"/>
      <c r="AP45" s="948"/>
      <c r="AQ45" s="948"/>
      <c r="AR45" s="948"/>
      <c r="AS45" s="948"/>
      <c r="AT45" s="948"/>
      <c r="AU45" s="948"/>
      <c r="AV45" s="948"/>
      <c r="AW45" s="948"/>
      <c r="AX45" s="948"/>
      <c r="AY45" s="948"/>
      <c r="AZ45" s="948"/>
      <c r="BA45" s="948"/>
      <c r="BB45" s="948"/>
      <c r="BC45" s="948"/>
      <c r="BD45" s="948"/>
      <c r="BE45" s="948"/>
      <c r="BF45" s="948"/>
      <c r="BG45" s="948"/>
      <c r="BH45" s="948"/>
      <c r="BI45" s="948"/>
      <c r="BJ45" s="948"/>
      <c r="BK45" s="948"/>
      <c r="BL45" s="948"/>
      <c r="BM45" s="948"/>
      <c r="BN45" s="948"/>
      <c r="BO45" s="948"/>
      <c r="BP45" s="948"/>
      <c r="BQ45" s="948"/>
      <c r="BR45" s="948"/>
      <c r="BS45" s="948"/>
      <c r="BT45" s="948"/>
      <c r="BU45" s="948"/>
      <c r="BV45" s="948"/>
      <c r="BW45" s="948"/>
      <c r="BX45" s="948"/>
      <c r="BY45" s="948"/>
      <c r="BZ45" s="948"/>
      <c r="CA45" s="948"/>
      <c r="CB45" s="948"/>
      <c r="CC45" s="948"/>
      <c r="CD45" s="948"/>
      <c r="CE45" s="948"/>
      <c r="CF45" s="948"/>
      <c r="CG45" s="948"/>
      <c r="CH45" s="948"/>
      <c r="CI45" s="948"/>
      <c r="CJ45" s="948"/>
      <c r="CK45" s="948"/>
      <c r="CL45" s="948"/>
      <c r="CM45" s="948"/>
      <c r="CN45" s="948"/>
      <c r="CO45" s="948"/>
      <c r="CP45" s="948"/>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row>
    <row r="46" spans="1:226" ht="13.5" customHeight="1">
      <c r="A46" s="12" t="s">
        <v>1169</v>
      </c>
      <c r="B46" s="12"/>
      <c r="C46" s="12"/>
      <c r="D46" s="12"/>
      <c r="E46" s="11"/>
      <c r="F46" s="11"/>
      <c r="G46" s="388"/>
      <c r="K46" s="388"/>
      <c r="L46" s="12"/>
      <c r="M46" s="948"/>
      <c r="N46" s="948"/>
      <c r="O46" s="948"/>
      <c r="P46" s="948"/>
      <c r="Q46" s="948"/>
      <c r="R46" s="948"/>
      <c r="S46" s="948"/>
      <c r="T46" s="948"/>
      <c r="U46" s="948"/>
      <c r="V46" s="948"/>
      <c r="W46" s="948"/>
      <c r="X46" s="948"/>
      <c r="Y46" s="948"/>
      <c r="Z46" s="948"/>
      <c r="AA46" s="948"/>
      <c r="AB46" s="948"/>
      <c r="AC46" s="948"/>
      <c r="AD46" s="948"/>
      <c r="AE46" s="948"/>
      <c r="AF46" s="948"/>
      <c r="AG46" s="948"/>
      <c r="AH46" s="948"/>
      <c r="AI46" s="948"/>
      <c r="AJ46" s="948"/>
      <c r="AK46" s="948"/>
      <c r="AL46" s="948"/>
      <c r="AM46" s="948"/>
      <c r="AN46" s="948"/>
      <c r="AO46" s="948"/>
      <c r="AP46" s="948"/>
      <c r="AQ46" s="948"/>
      <c r="AR46" s="948"/>
      <c r="AS46" s="948"/>
      <c r="AT46" s="948"/>
      <c r="AU46" s="948"/>
      <c r="AV46" s="948"/>
      <c r="AW46" s="948"/>
      <c r="AX46" s="948"/>
      <c r="AY46" s="948"/>
      <c r="AZ46" s="948"/>
      <c r="BA46" s="948"/>
      <c r="BB46" s="948"/>
      <c r="BC46" s="948"/>
      <c r="BD46" s="948"/>
      <c r="BE46" s="948"/>
      <c r="BF46" s="948"/>
      <c r="BG46" s="948"/>
      <c r="BH46" s="948"/>
      <c r="BI46" s="948"/>
      <c r="BJ46" s="948"/>
      <c r="BK46" s="948"/>
      <c r="BL46" s="948"/>
      <c r="BM46" s="948"/>
      <c r="BN46" s="948"/>
      <c r="BO46" s="948"/>
      <c r="BP46" s="948"/>
      <c r="BQ46" s="948"/>
      <c r="BR46" s="948"/>
      <c r="BS46" s="948"/>
      <c r="BT46" s="948"/>
      <c r="BU46" s="948"/>
      <c r="BV46" s="948"/>
      <c r="BW46" s="948"/>
      <c r="BX46" s="948"/>
      <c r="BY46" s="948"/>
      <c r="BZ46" s="948"/>
      <c r="CA46" s="948"/>
      <c r="CB46" s="948"/>
      <c r="CC46" s="948"/>
      <c r="CD46" s="948"/>
      <c r="CE46" s="948"/>
      <c r="CF46" s="948"/>
      <c r="CG46" s="948"/>
      <c r="CH46" s="948"/>
      <c r="CI46" s="948"/>
      <c r="CJ46" s="948"/>
      <c r="CK46" s="948"/>
      <c r="CL46" s="948"/>
      <c r="CM46" s="948"/>
      <c r="CN46" s="948"/>
      <c r="CO46" s="948"/>
      <c r="CP46" s="948"/>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row>
    <row r="47" spans="1:226" ht="14.1" customHeight="1">
      <c r="A47" s="12"/>
      <c r="B47" s="1203">
        <f>223900/104629-1</f>
        <v>1.1399420810673906</v>
      </c>
      <c r="C47" s="12"/>
      <c r="D47" s="12"/>
      <c r="E47" s="38"/>
      <c r="F47" s="38"/>
      <c r="G47" s="388"/>
      <c r="K47" s="388"/>
      <c r="L47" s="12"/>
      <c r="M47" s="948"/>
      <c r="N47" s="948"/>
      <c r="O47" s="948"/>
      <c r="P47" s="948"/>
      <c r="Q47" s="948"/>
      <c r="R47" s="948"/>
      <c r="S47" s="948"/>
      <c r="T47" s="948"/>
      <c r="U47" s="948"/>
      <c r="V47" s="948"/>
      <c r="W47" s="948"/>
      <c r="X47" s="948"/>
      <c r="Y47" s="948"/>
      <c r="Z47" s="948"/>
      <c r="AA47" s="948"/>
      <c r="AB47" s="948"/>
      <c r="AC47" s="948"/>
      <c r="AD47" s="948"/>
      <c r="AE47" s="948"/>
      <c r="AF47" s="948"/>
      <c r="AG47" s="948"/>
      <c r="AH47" s="948"/>
      <c r="AI47" s="948"/>
      <c r="AJ47" s="948"/>
      <c r="AK47" s="948"/>
      <c r="AL47" s="948"/>
      <c r="AM47" s="948"/>
      <c r="AN47" s="948"/>
      <c r="AO47" s="948"/>
      <c r="AP47" s="948"/>
      <c r="AQ47" s="948"/>
      <c r="AR47" s="948"/>
      <c r="AS47" s="948"/>
      <c r="AT47" s="948"/>
      <c r="AU47" s="948"/>
      <c r="AV47" s="948"/>
      <c r="AW47" s="948"/>
      <c r="AX47" s="948"/>
      <c r="AY47" s="948"/>
      <c r="AZ47" s="948"/>
      <c r="BA47" s="948"/>
      <c r="BB47" s="948"/>
      <c r="BC47" s="948"/>
      <c r="BD47" s="948"/>
      <c r="BE47" s="948"/>
      <c r="BF47" s="948"/>
      <c r="BG47" s="948"/>
      <c r="BH47" s="948"/>
      <c r="BI47" s="948"/>
      <c r="BJ47" s="948"/>
      <c r="BK47" s="948"/>
      <c r="BL47" s="948"/>
      <c r="BM47" s="948"/>
      <c r="BN47" s="948"/>
      <c r="BO47" s="948"/>
      <c r="BP47" s="948"/>
      <c r="BQ47" s="948"/>
      <c r="BR47" s="948"/>
      <c r="BS47" s="948"/>
      <c r="BT47" s="948"/>
      <c r="BU47" s="948"/>
      <c r="BV47" s="948"/>
      <c r="BW47" s="948"/>
      <c r="BX47" s="948"/>
      <c r="BY47" s="948"/>
      <c r="BZ47" s="948"/>
      <c r="CA47" s="948"/>
      <c r="CB47" s="948"/>
      <c r="CC47" s="948"/>
      <c r="CD47" s="948"/>
      <c r="CE47" s="948"/>
      <c r="CF47" s="948"/>
      <c r="CG47" s="948"/>
      <c r="CH47" s="948"/>
      <c r="CI47" s="948"/>
      <c r="CJ47" s="948"/>
      <c r="CK47" s="948"/>
      <c r="CL47" s="948"/>
      <c r="CM47" s="948"/>
      <c r="CN47" s="948"/>
      <c r="CO47" s="948"/>
      <c r="CP47" s="948"/>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row>
    <row r="48" spans="1:226" ht="15">
      <c r="A48" s="969"/>
      <c r="E48" s="38"/>
      <c r="F48" s="38"/>
      <c r="G48" s="388"/>
      <c r="K48" s="388"/>
      <c r="L48" s="12"/>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c r="AJ48" s="948"/>
      <c r="AK48" s="948"/>
      <c r="AL48" s="948"/>
      <c r="AM48" s="948"/>
      <c r="AN48" s="948"/>
      <c r="AO48" s="948"/>
      <c r="AP48" s="948"/>
      <c r="AQ48" s="948"/>
      <c r="AR48" s="948"/>
      <c r="AS48" s="948"/>
      <c r="AT48" s="948"/>
      <c r="AU48" s="948"/>
      <c r="AV48" s="948"/>
      <c r="AW48" s="948"/>
      <c r="AX48" s="948"/>
      <c r="AY48" s="948"/>
      <c r="AZ48" s="948"/>
      <c r="BA48" s="948"/>
      <c r="BB48" s="948"/>
      <c r="BC48" s="948"/>
      <c r="BD48" s="948"/>
      <c r="BE48" s="948"/>
      <c r="BF48" s="948"/>
      <c r="BG48" s="948"/>
      <c r="BH48" s="948"/>
      <c r="BI48" s="948"/>
      <c r="BJ48" s="948"/>
      <c r="BK48" s="948"/>
      <c r="BL48" s="948"/>
      <c r="BM48" s="948"/>
      <c r="BN48" s="948"/>
      <c r="BO48" s="948"/>
      <c r="BP48" s="948"/>
      <c r="BQ48" s="948"/>
      <c r="BR48" s="948"/>
      <c r="BS48" s="948"/>
      <c r="BT48" s="948"/>
      <c r="BU48" s="948"/>
      <c r="BV48" s="948"/>
      <c r="BW48" s="948"/>
      <c r="BX48" s="948"/>
      <c r="BY48" s="948"/>
      <c r="BZ48" s="948"/>
      <c r="CA48" s="948"/>
      <c r="CB48" s="948"/>
      <c r="CC48" s="948"/>
      <c r="CD48" s="948"/>
      <c r="CE48" s="948"/>
      <c r="CF48" s="948"/>
      <c r="CG48" s="948"/>
      <c r="CH48" s="948"/>
      <c r="CI48" s="948"/>
      <c r="CJ48" s="948"/>
      <c r="CK48" s="948"/>
      <c r="CL48" s="948"/>
      <c r="CM48" s="948"/>
      <c r="CN48" s="948"/>
      <c r="CO48" s="948"/>
      <c r="CP48" s="948"/>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row>
    <row r="49" spans="1:226">
      <c r="A49" s="918"/>
      <c r="E49" s="38"/>
      <c r="F49" s="38"/>
      <c r="G49" s="388"/>
      <c r="K49" s="388"/>
      <c r="L49" s="12"/>
      <c r="M49" s="948"/>
      <c r="N49" s="948"/>
      <c r="O49" s="948"/>
      <c r="P49" s="948"/>
      <c r="Q49" s="948"/>
      <c r="R49" s="948"/>
      <c r="S49" s="948"/>
      <c r="T49" s="948"/>
      <c r="U49" s="948"/>
      <c r="V49" s="948"/>
      <c r="W49" s="948"/>
      <c r="X49" s="948"/>
      <c r="Y49" s="948"/>
      <c r="Z49" s="948"/>
      <c r="AA49" s="948"/>
      <c r="AB49" s="948"/>
      <c r="AC49" s="948"/>
      <c r="AD49" s="948"/>
      <c r="AE49" s="948"/>
      <c r="AF49" s="948"/>
      <c r="AG49" s="948"/>
      <c r="AH49" s="948"/>
      <c r="AI49" s="948"/>
      <c r="AJ49" s="948"/>
      <c r="AK49" s="948"/>
      <c r="AL49" s="948"/>
      <c r="AM49" s="948"/>
      <c r="AN49" s="948"/>
      <c r="AO49" s="948"/>
      <c r="AP49" s="948"/>
      <c r="AQ49" s="948"/>
      <c r="AR49" s="948"/>
      <c r="AS49" s="948"/>
      <c r="AT49" s="948"/>
      <c r="AU49" s="948"/>
      <c r="AV49" s="948"/>
      <c r="AW49" s="948"/>
      <c r="AX49" s="948"/>
      <c r="AY49" s="948"/>
      <c r="AZ49" s="948"/>
      <c r="BA49" s="948"/>
      <c r="BB49" s="948"/>
      <c r="BC49" s="948"/>
      <c r="BD49" s="948"/>
      <c r="BE49" s="948"/>
      <c r="BF49" s="948"/>
      <c r="BG49" s="948"/>
      <c r="BH49" s="948"/>
      <c r="BI49" s="948"/>
      <c r="BJ49" s="948"/>
      <c r="BK49" s="948"/>
      <c r="BL49" s="948"/>
      <c r="BM49" s="948"/>
      <c r="BN49" s="948"/>
      <c r="BO49" s="948"/>
      <c r="BP49" s="948"/>
      <c r="BQ49" s="948"/>
      <c r="BR49" s="948"/>
      <c r="BS49" s="948"/>
      <c r="BT49" s="948"/>
      <c r="BU49" s="948"/>
      <c r="BV49" s="948"/>
      <c r="BW49" s="948"/>
      <c r="BX49" s="948"/>
      <c r="BY49" s="948"/>
      <c r="BZ49" s="948"/>
      <c r="CA49" s="948"/>
      <c r="CB49" s="948"/>
      <c r="CC49" s="948"/>
      <c r="CD49" s="948"/>
      <c r="CE49" s="948"/>
      <c r="CF49" s="948"/>
      <c r="CG49" s="948"/>
      <c r="CH49" s="948"/>
      <c r="CI49" s="948"/>
      <c r="CJ49" s="948"/>
      <c r="CK49" s="948"/>
      <c r="CL49" s="948"/>
      <c r="CM49" s="948"/>
      <c r="CN49" s="948"/>
      <c r="CO49" s="948"/>
      <c r="CP49" s="948"/>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row>
    <row r="50" spans="1:226">
      <c r="A50" s="12"/>
      <c r="E50" s="38"/>
      <c r="F50" s="38"/>
      <c r="G50" s="388"/>
      <c r="H50" s="388"/>
      <c r="I50" s="389"/>
      <c r="J50" s="389"/>
      <c r="K50" s="388"/>
      <c r="L50" s="12"/>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c r="AJ50" s="948"/>
      <c r="AK50" s="948"/>
      <c r="AL50" s="948"/>
      <c r="AM50" s="948"/>
      <c r="AN50" s="948"/>
      <c r="AO50" s="948"/>
      <c r="AP50" s="948"/>
      <c r="AQ50" s="948"/>
      <c r="AR50" s="948"/>
      <c r="AS50" s="948"/>
      <c r="AT50" s="948"/>
      <c r="AU50" s="948"/>
      <c r="AV50" s="948"/>
      <c r="AW50" s="948"/>
      <c r="AX50" s="948"/>
      <c r="AY50" s="948"/>
      <c r="AZ50" s="948"/>
      <c r="BA50" s="948"/>
      <c r="BB50" s="948"/>
      <c r="BC50" s="948"/>
      <c r="BD50" s="948"/>
      <c r="BE50" s="948"/>
      <c r="BF50" s="948"/>
      <c r="BG50" s="948"/>
      <c r="BH50" s="948"/>
      <c r="BI50" s="948"/>
      <c r="BJ50" s="948"/>
      <c r="BK50" s="948"/>
      <c r="BL50" s="948"/>
      <c r="BM50" s="948"/>
      <c r="BN50" s="948"/>
      <c r="BO50" s="948"/>
      <c r="BP50" s="948"/>
      <c r="BQ50" s="948"/>
      <c r="BR50" s="948"/>
      <c r="BS50" s="948"/>
      <c r="BT50" s="948"/>
      <c r="BU50" s="948"/>
      <c r="BV50" s="948"/>
      <c r="BW50" s="948"/>
      <c r="BX50" s="948"/>
      <c r="BY50" s="948"/>
      <c r="BZ50" s="948"/>
      <c r="CA50" s="948"/>
      <c r="CB50" s="948"/>
      <c r="CC50" s="948"/>
      <c r="CD50" s="948"/>
      <c r="CE50" s="948"/>
      <c r="CF50" s="948"/>
      <c r="CG50" s="948"/>
      <c r="CH50" s="948"/>
      <c r="CI50" s="948"/>
      <c r="CJ50" s="948"/>
      <c r="CK50" s="948"/>
      <c r="CL50" s="948"/>
      <c r="CM50" s="948"/>
      <c r="CN50" s="948"/>
      <c r="CO50" s="948"/>
      <c r="CP50" s="948"/>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row>
    <row r="51" spans="1:226">
      <c r="E51" s="38"/>
      <c r="F51" s="38"/>
      <c r="G51" s="388"/>
      <c r="H51" s="388"/>
      <c r="I51" s="388"/>
      <c r="J51" s="388"/>
      <c r="K51" s="388"/>
      <c r="L51" s="12"/>
      <c r="M51" s="948"/>
      <c r="N51" s="948"/>
      <c r="O51" s="948"/>
      <c r="P51" s="948"/>
      <c r="Q51" s="948"/>
      <c r="R51" s="948"/>
      <c r="S51" s="948"/>
      <c r="T51" s="948"/>
      <c r="U51" s="948"/>
      <c r="V51" s="948"/>
      <c r="W51" s="948"/>
      <c r="X51" s="948"/>
      <c r="Y51" s="948"/>
      <c r="Z51" s="948"/>
      <c r="AA51" s="948"/>
      <c r="AB51" s="948"/>
      <c r="AC51" s="948"/>
      <c r="AD51" s="948"/>
      <c r="AE51" s="948"/>
      <c r="AF51" s="948"/>
      <c r="AG51" s="948"/>
      <c r="AH51" s="948"/>
      <c r="AI51" s="948"/>
      <c r="AJ51" s="948"/>
      <c r="AK51" s="948"/>
      <c r="AL51" s="948"/>
      <c r="AM51" s="948"/>
      <c r="AN51" s="948"/>
      <c r="AO51" s="948"/>
      <c r="AP51" s="948"/>
      <c r="AQ51" s="948"/>
      <c r="AR51" s="948"/>
      <c r="AS51" s="948"/>
      <c r="AT51" s="948"/>
      <c r="AU51" s="948"/>
      <c r="AV51" s="948"/>
      <c r="AW51" s="948"/>
      <c r="AX51" s="948"/>
      <c r="AY51" s="948"/>
      <c r="AZ51" s="948"/>
      <c r="BA51" s="948"/>
      <c r="BB51" s="948"/>
      <c r="BC51" s="948"/>
      <c r="BD51" s="948"/>
      <c r="BE51" s="948"/>
      <c r="BF51" s="948"/>
      <c r="BG51" s="948"/>
      <c r="BH51" s="948"/>
      <c r="BI51" s="948"/>
      <c r="BJ51" s="948"/>
      <c r="BK51" s="948"/>
      <c r="BL51" s="948"/>
      <c r="BM51" s="948"/>
      <c r="BN51" s="948"/>
      <c r="BO51" s="948"/>
      <c r="BP51" s="948"/>
      <c r="BQ51" s="948"/>
      <c r="BR51" s="948"/>
      <c r="BS51" s="948"/>
      <c r="BT51" s="948"/>
      <c r="BU51" s="948"/>
      <c r="BV51" s="948"/>
      <c r="BW51" s="948"/>
      <c r="BX51" s="948"/>
      <c r="BY51" s="948"/>
      <c r="BZ51" s="948"/>
      <c r="CA51" s="948"/>
      <c r="CB51" s="948"/>
      <c r="CC51" s="948"/>
      <c r="CD51" s="948"/>
      <c r="CE51" s="948"/>
      <c r="CF51" s="948"/>
      <c r="CG51" s="948"/>
      <c r="CH51" s="948"/>
      <c r="CI51" s="948"/>
      <c r="CJ51" s="948"/>
      <c r="CK51" s="948"/>
      <c r="CL51" s="948"/>
      <c r="CM51" s="948"/>
      <c r="CN51" s="948"/>
      <c r="CO51" s="948"/>
      <c r="CP51" s="948"/>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row>
    <row r="52" spans="1:226" ht="14.25">
      <c r="A52" s="970"/>
      <c r="B52" s="971"/>
      <c r="C52" s="971"/>
      <c r="D52" s="971"/>
      <c r="E52" s="971"/>
      <c r="F52" s="971"/>
      <c r="G52" s="971"/>
      <c r="H52" s="971"/>
      <c r="I52" s="971"/>
      <c r="J52" s="388"/>
      <c r="K52" s="388"/>
      <c r="L52" s="12"/>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c r="AJ52" s="948"/>
      <c r="AK52" s="948"/>
      <c r="AL52" s="948"/>
      <c r="AM52" s="948"/>
      <c r="AN52" s="948"/>
      <c r="AO52" s="948"/>
      <c r="AP52" s="948"/>
      <c r="AQ52" s="948"/>
      <c r="AR52" s="948"/>
      <c r="AS52" s="948"/>
      <c r="AT52" s="948"/>
      <c r="AU52" s="948"/>
      <c r="AV52" s="948"/>
      <c r="AW52" s="948"/>
      <c r="AX52" s="948"/>
      <c r="AY52" s="948"/>
      <c r="AZ52" s="948"/>
      <c r="BA52" s="948"/>
      <c r="BB52" s="948"/>
      <c r="BC52" s="948"/>
      <c r="BD52" s="948"/>
      <c r="BE52" s="948"/>
      <c r="BF52" s="948"/>
      <c r="BG52" s="948"/>
      <c r="BH52" s="948"/>
      <c r="BI52" s="948"/>
      <c r="BJ52" s="948"/>
      <c r="BK52" s="948"/>
      <c r="BL52" s="948"/>
      <c r="BM52" s="948"/>
      <c r="BN52" s="948"/>
      <c r="BO52" s="948"/>
      <c r="BP52" s="948"/>
      <c r="BQ52" s="948"/>
      <c r="BR52" s="948"/>
      <c r="BS52" s="948"/>
      <c r="BT52" s="948"/>
      <c r="BU52" s="948"/>
      <c r="BV52" s="948"/>
      <c r="BW52" s="948"/>
      <c r="BX52" s="948"/>
      <c r="BY52" s="948"/>
      <c r="BZ52" s="948"/>
      <c r="CA52" s="948"/>
      <c r="CB52" s="948"/>
      <c r="CC52" s="948"/>
      <c r="CD52" s="948"/>
      <c r="CE52" s="948"/>
      <c r="CF52" s="948"/>
      <c r="CG52" s="948"/>
      <c r="CH52" s="948"/>
      <c r="CI52" s="948"/>
      <c r="CJ52" s="948"/>
      <c r="CK52" s="948"/>
      <c r="CL52" s="948"/>
      <c r="CM52" s="948"/>
      <c r="CN52" s="948"/>
      <c r="CO52" s="948"/>
      <c r="CP52" s="948"/>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row>
    <row r="53" spans="1:226" ht="15.75">
      <c r="A53" s="39"/>
      <c r="B53" s="10"/>
      <c r="C53" s="10"/>
      <c r="D53" s="10"/>
      <c r="E53" s="10"/>
      <c r="F53" s="10"/>
      <c r="G53" s="390"/>
      <c r="H53" s="390"/>
      <c r="I53" s="390"/>
      <c r="J53" s="390"/>
      <c r="K53" s="390"/>
      <c r="L53" s="10"/>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c r="AJ53" s="948"/>
      <c r="AK53" s="948"/>
      <c r="AL53" s="948"/>
      <c r="AM53" s="948"/>
      <c r="AN53" s="948"/>
      <c r="AO53" s="948"/>
      <c r="AP53" s="948"/>
      <c r="AQ53" s="948"/>
      <c r="AR53" s="948"/>
      <c r="AS53" s="948"/>
      <c r="AT53" s="948"/>
      <c r="AU53" s="948"/>
      <c r="AV53" s="948"/>
      <c r="AW53" s="948"/>
      <c r="AX53" s="948"/>
      <c r="AY53" s="948"/>
      <c r="AZ53" s="948"/>
      <c r="BA53" s="948"/>
      <c r="BB53" s="948"/>
      <c r="BC53" s="948"/>
      <c r="BD53" s="948"/>
      <c r="BE53" s="948"/>
      <c r="BF53" s="948"/>
      <c r="BG53" s="948"/>
      <c r="BH53" s="948"/>
      <c r="BI53" s="948"/>
      <c r="BJ53" s="948"/>
      <c r="BK53" s="948"/>
      <c r="BL53" s="948"/>
      <c r="BM53" s="948"/>
      <c r="BN53" s="948"/>
      <c r="BO53" s="948"/>
      <c r="BP53" s="948"/>
      <c r="BQ53" s="948"/>
      <c r="BR53" s="948"/>
      <c r="BS53" s="948"/>
      <c r="BT53" s="948"/>
      <c r="BU53" s="948"/>
      <c r="BV53" s="948"/>
      <c r="BW53" s="948"/>
      <c r="BX53" s="948"/>
      <c r="BY53" s="948"/>
      <c r="BZ53" s="948"/>
      <c r="CA53" s="948"/>
      <c r="CB53" s="948"/>
      <c r="CC53" s="948"/>
      <c r="CD53" s="948"/>
      <c r="CE53" s="948"/>
      <c r="CF53" s="948"/>
      <c r="CG53" s="948"/>
      <c r="CH53" s="948"/>
      <c r="CI53" s="948"/>
      <c r="CJ53" s="948"/>
      <c r="CK53" s="948"/>
      <c r="CL53" s="948"/>
      <c r="CM53" s="948"/>
      <c r="CN53" s="948"/>
      <c r="CO53" s="948"/>
      <c r="CP53" s="948"/>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row>
    <row r="54" spans="1:226" ht="14.1" customHeight="1">
      <c r="B54" s="12"/>
      <c r="C54" s="12"/>
      <c r="D54" s="12"/>
      <c r="E54" s="38"/>
      <c r="F54" s="38"/>
      <c r="G54" s="388"/>
      <c r="H54" s="388"/>
      <c r="I54" s="388"/>
      <c r="J54" s="388"/>
      <c r="K54" s="388"/>
      <c r="L54" s="12"/>
      <c r="M54" s="948"/>
      <c r="N54" s="948"/>
      <c r="O54" s="948"/>
      <c r="P54" s="948"/>
      <c r="Q54" s="948"/>
      <c r="R54" s="948"/>
      <c r="S54" s="948"/>
      <c r="T54" s="948"/>
      <c r="U54" s="948"/>
      <c r="V54" s="948"/>
      <c r="W54" s="948"/>
      <c r="X54" s="948"/>
      <c r="Y54" s="948"/>
      <c r="Z54" s="948"/>
      <c r="AA54" s="948"/>
      <c r="AB54" s="948"/>
      <c r="AC54" s="948"/>
      <c r="AD54" s="948"/>
      <c r="AE54" s="948"/>
      <c r="AF54" s="948"/>
      <c r="AG54" s="948"/>
      <c r="AH54" s="948"/>
      <c r="AI54" s="948"/>
      <c r="AJ54" s="948"/>
      <c r="AK54" s="948"/>
      <c r="AL54" s="948"/>
      <c r="AM54" s="948"/>
      <c r="AN54" s="948"/>
      <c r="AO54" s="948"/>
      <c r="AP54" s="948"/>
      <c r="AQ54" s="948"/>
      <c r="AR54" s="948"/>
      <c r="AS54" s="948"/>
      <c r="AT54" s="948"/>
      <c r="AU54" s="948"/>
      <c r="AV54" s="948"/>
      <c r="AW54" s="948"/>
      <c r="AX54" s="948"/>
      <c r="AY54" s="948"/>
      <c r="AZ54" s="948"/>
      <c r="BA54" s="948"/>
      <c r="BB54" s="948"/>
      <c r="BC54" s="948"/>
      <c r="BD54" s="948"/>
      <c r="BE54" s="948"/>
      <c r="BF54" s="948"/>
      <c r="BG54" s="948"/>
      <c r="BH54" s="948"/>
      <c r="BI54" s="948"/>
      <c r="BJ54" s="948"/>
      <c r="BK54" s="948"/>
      <c r="BL54" s="948"/>
      <c r="BM54" s="948"/>
      <c r="BN54" s="948"/>
      <c r="BO54" s="948"/>
      <c r="BP54" s="948"/>
      <c r="BQ54" s="948"/>
      <c r="BR54" s="948"/>
      <c r="BS54" s="948"/>
      <c r="BT54" s="948"/>
      <c r="BU54" s="948"/>
      <c r="BV54" s="948"/>
      <c r="BW54" s="948"/>
      <c r="BX54" s="948"/>
      <c r="BY54" s="948"/>
      <c r="BZ54" s="948"/>
      <c r="CA54" s="948"/>
      <c r="CB54" s="948"/>
      <c r="CC54" s="948"/>
      <c r="CD54" s="948"/>
      <c r="CE54" s="948"/>
      <c r="CF54" s="948"/>
      <c r="CG54" s="948"/>
      <c r="CH54" s="948"/>
      <c r="CI54" s="948"/>
      <c r="CJ54" s="948"/>
      <c r="CK54" s="948"/>
      <c r="CL54" s="948"/>
      <c r="CM54" s="948"/>
      <c r="CN54" s="948"/>
      <c r="CO54" s="948"/>
      <c r="CP54" s="948"/>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row>
    <row r="55" spans="1:226" ht="14.1" customHeight="1">
      <c r="A55" s="12"/>
      <c r="B55" s="12"/>
      <c r="C55" s="12"/>
      <c r="D55" s="12"/>
      <c r="E55" s="38"/>
      <c r="F55" s="38"/>
      <c r="G55" s="12"/>
      <c r="H55" s="12"/>
      <c r="I55" s="12"/>
      <c r="J55" s="12"/>
      <c r="K55" s="12"/>
      <c r="L55" s="12"/>
      <c r="M55" s="948"/>
      <c r="N55" s="948"/>
      <c r="O55" s="948"/>
      <c r="P55" s="948"/>
      <c r="Q55" s="948"/>
      <c r="R55" s="948"/>
      <c r="S55" s="948"/>
      <c r="T55" s="948"/>
      <c r="U55" s="948"/>
      <c r="V55" s="948"/>
      <c r="W55" s="948"/>
      <c r="X55" s="948"/>
      <c r="Y55" s="948"/>
      <c r="Z55" s="948"/>
      <c r="AA55" s="948"/>
      <c r="AB55" s="948"/>
      <c r="AC55" s="948"/>
      <c r="AD55" s="948"/>
      <c r="AE55" s="948"/>
      <c r="AF55" s="948"/>
      <c r="AG55" s="948"/>
      <c r="AH55" s="948"/>
      <c r="AI55" s="948"/>
      <c r="AJ55" s="948"/>
      <c r="AK55" s="948"/>
      <c r="AL55" s="948"/>
      <c r="AM55" s="948"/>
      <c r="AN55" s="948"/>
      <c r="AO55" s="948"/>
      <c r="AP55" s="948"/>
      <c r="AQ55" s="948"/>
      <c r="AR55" s="948"/>
      <c r="AS55" s="948"/>
      <c r="AT55" s="948"/>
      <c r="AU55" s="948"/>
      <c r="AV55" s="948"/>
      <c r="AW55" s="948"/>
      <c r="AX55" s="948"/>
      <c r="AY55" s="948"/>
      <c r="AZ55" s="948"/>
      <c r="BA55" s="948"/>
      <c r="BB55" s="948"/>
      <c r="BC55" s="948"/>
      <c r="BD55" s="948"/>
      <c r="BE55" s="948"/>
      <c r="BF55" s="948"/>
      <c r="BG55" s="948"/>
      <c r="BH55" s="948"/>
      <c r="BI55" s="948"/>
      <c r="BJ55" s="948"/>
      <c r="BK55" s="948"/>
      <c r="BL55" s="948"/>
      <c r="BM55" s="948"/>
      <c r="BN55" s="948"/>
      <c r="BO55" s="948"/>
      <c r="BP55" s="948"/>
      <c r="BQ55" s="948"/>
      <c r="BR55" s="948"/>
      <c r="BS55" s="948"/>
      <c r="BT55" s="948"/>
      <c r="BU55" s="948"/>
      <c r="BV55" s="948"/>
      <c r="BW55" s="948"/>
      <c r="BX55" s="948"/>
      <c r="BY55" s="948"/>
      <c r="BZ55" s="948"/>
      <c r="CA55" s="948"/>
      <c r="CB55" s="948"/>
      <c r="CC55" s="948"/>
      <c r="CD55" s="948"/>
      <c r="CE55" s="948"/>
      <c r="CF55" s="948"/>
      <c r="CG55" s="948"/>
      <c r="CH55" s="948"/>
      <c r="CI55" s="948"/>
      <c r="CJ55" s="948"/>
      <c r="CK55" s="948"/>
      <c r="CL55" s="948"/>
      <c r="CM55" s="948"/>
      <c r="CN55" s="948"/>
      <c r="CO55" s="948"/>
      <c r="CP55" s="948"/>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row>
    <row r="56" spans="1:226" ht="14.1" customHeight="1">
      <c r="A56" s="12"/>
      <c r="B56" s="12"/>
      <c r="C56" s="12"/>
      <c r="D56" s="12"/>
      <c r="E56" s="38"/>
      <c r="F56" s="38"/>
      <c r="G56" s="12"/>
      <c r="H56" s="12"/>
      <c r="I56" s="12"/>
      <c r="J56" s="12"/>
      <c r="K56" s="12"/>
      <c r="L56" s="12"/>
      <c r="M56" s="948"/>
      <c r="N56" s="948"/>
      <c r="O56" s="948"/>
      <c r="P56" s="948"/>
      <c r="Q56" s="948"/>
      <c r="R56" s="948"/>
      <c r="S56" s="948"/>
      <c r="T56" s="948"/>
      <c r="U56" s="948"/>
      <c r="V56" s="948"/>
      <c r="W56" s="948"/>
      <c r="X56" s="948"/>
      <c r="Y56" s="948"/>
      <c r="Z56" s="948"/>
      <c r="AA56" s="948"/>
      <c r="AB56" s="948"/>
      <c r="AC56" s="948"/>
      <c r="AD56" s="948"/>
      <c r="AE56" s="948"/>
      <c r="AF56" s="948"/>
      <c r="AG56" s="948"/>
      <c r="AH56" s="948"/>
      <c r="AI56" s="948"/>
      <c r="AJ56" s="948"/>
      <c r="AK56" s="948"/>
      <c r="AL56" s="948"/>
      <c r="AM56" s="948"/>
      <c r="AN56" s="948"/>
      <c r="AO56" s="948"/>
      <c r="AP56" s="948"/>
      <c r="AQ56" s="948"/>
      <c r="AR56" s="948"/>
      <c r="AS56" s="948"/>
      <c r="AT56" s="948"/>
      <c r="AU56" s="948"/>
      <c r="AV56" s="948"/>
      <c r="AW56" s="948"/>
      <c r="AX56" s="948"/>
      <c r="AY56" s="948"/>
      <c r="AZ56" s="948"/>
      <c r="BA56" s="948"/>
      <c r="BB56" s="948"/>
      <c r="BC56" s="948"/>
      <c r="BD56" s="948"/>
      <c r="BE56" s="948"/>
      <c r="BF56" s="948"/>
      <c r="BG56" s="948"/>
      <c r="BH56" s="948"/>
      <c r="BI56" s="948"/>
      <c r="BJ56" s="948"/>
      <c r="BK56" s="948"/>
      <c r="BL56" s="948"/>
      <c r="BM56" s="948"/>
      <c r="BN56" s="948"/>
      <c r="BO56" s="948"/>
      <c r="BP56" s="948"/>
      <c r="BQ56" s="948"/>
      <c r="BR56" s="948"/>
      <c r="BS56" s="948"/>
      <c r="BT56" s="948"/>
      <c r="BU56" s="948"/>
      <c r="BV56" s="948"/>
      <c r="BW56" s="948"/>
      <c r="BX56" s="948"/>
      <c r="BY56" s="948"/>
      <c r="BZ56" s="948"/>
      <c r="CA56" s="948"/>
      <c r="CB56" s="948"/>
      <c r="CC56" s="948"/>
      <c r="CD56" s="948"/>
      <c r="CE56" s="948"/>
      <c r="CF56" s="948"/>
      <c r="CG56" s="948"/>
      <c r="CH56" s="948"/>
      <c r="CI56" s="948"/>
      <c r="CJ56" s="948"/>
      <c r="CK56" s="948"/>
      <c r="CL56" s="948"/>
      <c r="CM56" s="948"/>
      <c r="CN56" s="948"/>
      <c r="CO56" s="948"/>
      <c r="CP56" s="948"/>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row>
    <row r="57" spans="1:226" ht="14.1" customHeight="1">
      <c r="A57" s="12"/>
      <c r="B57" s="12"/>
      <c r="C57" s="12"/>
      <c r="D57" s="12"/>
      <c r="E57" s="38"/>
      <c r="F57" s="38"/>
      <c r="G57" s="12"/>
      <c r="H57" s="12"/>
      <c r="I57" s="12"/>
      <c r="J57" s="12"/>
      <c r="K57" s="12"/>
      <c r="L57" s="12"/>
      <c r="M57" s="948"/>
      <c r="N57" s="948"/>
      <c r="O57" s="948"/>
      <c r="P57" s="948"/>
      <c r="Q57" s="948"/>
      <c r="R57" s="948"/>
      <c r="S57" s="948"/>
      <c r="T57" s="948"/>
      <c r="U57" s="948"/>
      <c r="V57" s="948"/>
      <c r="W57" s="948"/>
      <c r="X57" s="948"/>
      <c r="Y57" s="948"/>
      <c r="Z57" s="948"/>
      <c r="AA57" s="948"/>
      <c r="AB57" s="948"/>
      <c r="AC57" s="948"/>
      <c r="AD57" s="948"/>
      <c r="AE57" s="948"/>
      <c r="AF57" s="948"/>
      <c r="AG57" s="948"/>
      <c r="AH57" s="948"/>
      <c r="AI57" s="948"/>
      <c r="AJ57" s="948"/>
      <c r="AK57" s="948"/>
      <c r="AL57" s="948"/>
      <c r="AM57" s="948"/>
      <c r="AN57" s="948"/>
      <c r="AO57" s="948"/>
      <c r="AP57" s="948"/>
      <c r="AQ57" s="948"/>
      <c r="AR57" s="948"/>
      <c r="AS57" s="948"/>
      <c r="AT57" s="948"/>
      <c r="AU57" s="948"/>
      <c r="AV57" s="948"/>
      <c r="AW57" s="948"/>
      <c r="AX57" s="948"/>
      <c r="AY57" s="948"/>
      <c r="AZ57" s="948"/>
      <c r="BA57" s="948"/>
      <c r="BB57" s="948"/>
      <c r="BC57" s="948"/>
      <c r="BD57" s="948"/>
      <c r="BE57" s="948"/>
      <c r="BF57" s="948"/>
      <c r="BG57" s="948"/>
      <c r="BH57" s="948"/>
      <c r="BI57" s="948"/>
      <c r="BJ57" s="948"/>
      <c r="BK57" s="948"/>
      <c r="BL57" s="948"/>
      <c r="BM57" s="948"/>
      <c r="BN57" s="948"/>
      <c r="BO57" s="948"/>
      <c r="BP57" s="948"/>
      <c r="BQ57" s="948"/>
      <c r="BR57" s="948"/>
      <c r="BS57" s="948"/>
      <c r="BT57" s="948"/>
      <c r="BU57" s="948"/>
      <c r="BV57" s="948"/>
      <c r="BW57" s="948"/>
      <c r="BX57" s="948"/>
      <c r="BY57" s="948"/>
      <c r="BZ57" s="948"/>
      <c r="CA57" s="948"/>
      <c r="CB57" s="948"/>
      <c r="CC57" s="948"/>
      <c r="CD57" s="948"/>
      <c r="CE57" s="948"/>
      <c r="CF57" s="948"/>
      <c r="CG57" s="948"/>
      <c r="CH57" s="948"/>
      <c r="CI57" s="948"/>
      <c r="CJ57" s="948"/>
      <c r="CK57" s="948"/>
      <c r="CL57" s="948"/>
      <c r="CM57" s="948"/>
      <c r="CN57" s="948"/>
      <c r="CO57" s="948"/>
      <c r="CP57" s="948"/>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row>
    <row r="58" spans="1:226" ht="14.1" customHeight="1">
      <c r="A58" s="12"/>
      <c r="B58" s="12"/>
      <c r="C58" s="12"/>
      <c r="D58" s="12"/>
      <c r="E58" s="38"/>
      <c r="F58" s="38"/>
      <c r="G58" s="12"/>
      <c r="H58" s="12"/>
      <c r="I58" s="12"/>
      <c r="J58" s="12"/>
      <c r="K58" s="12"/>
      <c r="L58" s="12"/>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c r="AJ58" s="948"/>
      <c r="AK58" s="948"/>
      <c r="AL58" s="948"/>
      <c r="AM58" s="948"/>
      <c r="AN58" s="948"/>
      <c r="AO58" s="948"/>
      <c r="AP58" s="948"/>
      <c r="AQ58" s="948"/>
      <c r="AR58" s="948"/>
      <c r="AS58" s="948"/>
      <c r="AT58" s="948"/>
      <c r="AU58" s="948"/>
      <c r="AV58" s="948"/>
      <c r="AW58" s="948"/>
      <c r="AX58" s="948"/>
      <c r="AY58" s="948"/>
      <c r="AZ58" s="948"/>
      <c r="BA58" s="948"/>
      <c r="BB58" s="948"/>
      <c r="BC58" s="948"/>
      <c r="BD58" s="948"/>
      <c r="BE58" s="948"/>
      <c r="BF58" s="948"/>
      <c r="BG58" s="948"/>
      <c r="BH58" s="948"/>
      <c r="BI58" s="948"/>
      <c r="BJ58" s="948"/>
      <c r="BK58" s="948"/>
      <c r="BL58" s="948"/>
      <c r="BM58" s="948"/>
      <c r="BN58" s="948"/>
      <c r="BO58" s="948"/>
      <c r="BP58" s="948"/>
      <c r="BQ58" s="948"/>
      <c r="BR58" s="948"/>
      <c r="BS58" s="948"/>
      <c r="BT58" s="948"/>
      <c r="BU58" s="948"/>
      <c r="BV58" s="948"/>
      <c r="BW58" s="948"/>
      <c r="BX58" s="948"/>
      <c r="BY58" s="948"/>
      <c r="BZ58" s="948"/>
      <c r="CA58" s="948"/>
      <c r="CB58" s="948"/>
      <c r="CC58" s="948"/>
      <c r="CD58" s="948"/>
      <c r="CE58" s="948"/>
      <c r="CF58" s="948"/>
      <c r="CG58" s="948"/>
      <c r="CH58" s="948"/>
      <c r="CI58" s="948"/>
      <c r="CJ58" s="948"/>
      <c r="CK58" s="948"/>
      <c r="CL58" s="948"/>
      <c r="CM58" s="948"/>
      <c r="CN58" s="948"/>
      <c r="CO58" s="948"/>
      <c r="CP58" s="948"/>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row>
    <row r="59" spans="1:226" ht="14.1" customHeight="1">
      <c r="A59" s="12"/>
      <c r="B59" s="12"/>
      <c r="C59" s="12"/>
      <c r="D59" s="12"/>
      <c r="E59" s="38"/>
      <c r="F59" s="38"/>
      <c r="G59" s="12"/>
      <c r="H59" s="12"/>
      <c r="I59" s="12"/>
      <c r="J59" s="12"/>
      <c r="K59" s="12"/>
      <c r="L59" s="12"/>
      <c r="M59" s="948"/>
      <c r="N59" s="948"/>
      <c r="O59" s="948"/>
      <c r="P59" s="948"/>
      <c r="Q59" s="948"/>
      <c r="R59" s="948"/>
      <c r="S59" s="948"/>
      <c r="T59" s="948"/>
      <c r="U59" s="948"/>
      <c r="V59" s="948"/>
      <c r="W59" s="948"/>
      <c r="X59" s="948"/>
      <c r="Y59" s="948"/>
      <c r="Z59" s="948"/>
      <c r="AA59" s="948"/>
      <c r="AB59" s="948"/>
      <c r="AC59" s="948"/>
      <c r="AD59" s="948"/>
      <c r="AE59" s="948"/>
      <c r="AF59" s="948"/>
      <c r="AG59" s="948"/>
      <c r="AH59" s="948"/>
      <c r="AI59" s="948"/>
      <c r="AJ59" s="948"/>
      <c r="AK59" s="948"/>
      <c r="AL59" s="948"/>
      <c r="AM59" s="948"/>
      <c r="AN59" s="948"/>
      <c r="AO59" s="948"/>
      <c r="AP59" s="948"/>
      <c r="AQ59" s="948"/>
      <c r="AR59" s="948"/>
      <c r="AS59" s="948"/>
      <c r="AT59" s="948"/>
      <c r="AU59" s="948"/>
      <c r="AV59" s="948"/>
      <c r="AW59" s="948"/>
      <c r="AX59" s="948"/>
      <c r="AY59" s="948"/>
      <c r="AZ59" s="948"/>
      <c r="BA59" s="948"/>
      <c r="BB59" s="948"/>
      <c r="BC59" s="948"/>
      <c r="BD59" s="948"/>
      <c r="BE59" s="948"/>
      <c r="BF59" s="948"/>
      <c r="BG59" s="948"/>
      <c r="BH59" s="948"/>
      <c r="BI59" s="948"/>
      <c r="BJ59" s="948"/>
      <c r="BK59" s="948"/>
      <c r="BL59" s="948"/>
      <c r="BM59" s="948"/>
      <c r="BN59" s="948"/>
      <c r="BO59" s="948"/>
      <c r="BP59" s="948"/>
      <c r="BQ59" s="948"/>
      <c r="BR59" s="948"/>
      <c r="BS59" s="948"/>
      <c r="BT59" s="948"/>
      <c r="BU59" s="948"/>
      <c r="BV59" s="948"/>
      <c r="BW59" s="948"/>
      <c r="BX59" s="948"/>
      <c r="BY59" s="948"/>
      <c r="BZ59" s="948"/>
      <c r="CA59" s="948"/>
      <c r="CB59" s="948"/>
      <c r="CC59" s="948"/>
      <c r="CD59" s="948"/>
      <c r="CE59" s="948"/>
      <c r="CF59" s="948"/>
      <c r="CG59" s="948"/>
      <c r="CH59" s="948"/>
      <c r="CI59" s="948"/>
      <c r="CJ59" s="948"/>
      <c r="CK59" s="948"/>
      <c r="CL59" s="948"/>
      <c r="CM59" s="948"/>
      <c r="CN59" s="948"/>
      <c r="CO59" s="948"/>
      <c r="CP59" s="948"/>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row>
    <row r="60" spans="1:226" ht="14.1" customHeight="1">
      <c r="A60" s="12"/>
      <c r="B60" s="12"/>
      <c r="C60" s="12"/>
      <c r="D60" s="12"/>
      <c r="E60" s="38"/>
      <c r="F60" s="38"/>
      <c r="G60" s="12"/>
      <c r="H60" s="12"/>
      <c r="I60" s="12"/>
      <c r="J60" s="12"/>
      <c r="K60" s="12"/>
      <c r="L60" s="12"/>
      <c r="M60" s="948"/>
      <c r="N60" s="948"/>
      <c r="O60" s="948"/>
      <c r="P60" s="948"/>
      <c r="Q60" s="948"/>
      <c r="R60" s="948"/>
      <c r="S60" s="948"/>
      <c r="T60" s="948"/>
      <c r="U60" s="948"/>
      <c r="V60" s="948"/>
      <c r="W60" s="948"/>
      <c r="X60" s="948"/>
      <c r="Y60" s="948"/>
      <c r="Z60" s="948"/>
      <c r="AA60" s="948"/>
      <c r="AB60" s="948"/>
      <c r="AC60" s="948"/>
      <c r="AD60" s="948"/>
      <c r="AE60" s="948"/>
      <c r="AF60" s="948"/>
      <c r="AG60" s="948"/>
      <c r="AH60" s="948"/>
      <c r="AI60" s="948"/>
      <c r="AJ60" s="948"/>
      <c r="AK60" s="948"/>
      <c r="AL60" s="948"/>
      <c r="AM60" s="948"/>
      <c r="AN60" s="948"/>
      <c r="AO60" s="948"/>
      <c r="AP60" s="948"/>
      <c r="AQ60" s="948"/>
      <c r="AR60" s="948"/>
      <c r="AS60" s="948"/>
      <c r="AT60" s="948"/>
      <c r="AU60" s="948"/>
      <c r="AV60" s="948"/>
      <c r="AW60" s="948"/>
      <c r="AX60" s="948"/>
      <c r="AY60" s="948"/>
      <c r="AZ60" s="948"/>
      <c r="BA60" s="948"/>
      <c r="BB60" s="948"/>
      <c r="BC60" s="948"/>
      <c r="BD60" s="948"/>
      <c r="BE60" s="948"/>
      <c r="BF60" s="948"/>
      <c r="BG60" s="948"/>
      <c r="BH60" s="948"/>
      <c r="BI60" s="948"/>
      <c r="BJ60" s="948"/>
      <c r="BK60" s="948"/>
      <c r="BL60" s="948"/>
      <c r="BM60" s="948"/>
      <c r="BN60" s="948"/>
      <c r="BO60" s="948"/>
      <c r="BP60" s="948"/>
      <c r="BQ60" s="948"/>
      <c r="BR60" s="948"/>
      <c r="BS60" s="948"/>
      <c r="BT60" s="948"/>
      <c r="BU60" s="948"/>
      <c r="BV60" s="948"/>
      <c r="BW60" s="948"/>
      <c r="BX60" s="948"/>
      <c r="BY60" s="948"/>
      <c r="BZ60" s="948"/>
      <c r="CA60" s="948"/>
      <c r="CB60" s="948"/>
      <c r="CC60" s="948"/>
      <c r="CD60" s="948"/>
      <c r="CE60" s="948"/>
      <c r="CF60" s="948"/>
      <c r="CG60" s="948"/>
      <c r="CH60" s="948"/>
      <c r="CI60" s="948"/>
      <c r="CJ60" s="948"/>
      <c r="CK60" s="948"/>
      <c r="CL60" s="948"/>
      <c r="CM60" s="948"/>
      <c r="CN60" s="948"/>
      <c r="CO60" s="948"/>
      <c r="CP60" s="948"/>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row>
    <row r="61" spans="1:226" ht="14.1" customHeight="1">
      <c r="A61" s="12"/>
      <c r="B61" s="40"/>
      <c r="C61" s="40"/>
      <c r="D61" s="40"/>
      <c r="E61" s="38"/>
      <c r="F61" s="38"/>
      <c r="G61" s="12"/>
      <c r="H61" s="12"/>
      <c r="I61" s="12"/>
      <c r="J61" s="12"/>
      <c r="K61" s="12"/>
      <c r="L61" s="12"/>
      <c r="M61" s="948"/>
      <c r="N61" s="948"/>
      <c r="O61" s="948"/>
      <c r="P61" s="948"/>
      <c r="Q61" s="948"/>
      <c r="R61" s="948"/>
      <c r="S61" s="948"/>
      <c r="T61" s="948"/>
      <c r="U61" s="948"/>
      <c r="V61" s="948"/>
      <c r="W61" s="948"/>
      <c r="X61" s="948"/>
      <c r="Y61" s="948"/>
      <c r="Z61" s="948"/>
      <c r="AA61" s="948"/>
      <c r="AB61" s="948"/>
      <c r="AC61" s="948"/>
      <c r="AD61" s="948"/>
      <c r="AE61" s="948"/>
      <c r="AF61" s="948"/>
      <c r="AG61" s="948"/>
      <c r="AH61" s="948"/>
      <c r="AI61" s="948"/>
      <c r="AJ61" s="948"/>
      <c r="AK61" s="948"/>
      <c r="AL61" s="948"/>
      <c r="AM61" s="948"/>
      <c r="AN61" s="948"/>
      <c r="AO61" s="948"/>
      <c r="AP61" s="948"/>
      <c r="AQ61" s="948"/>
      <c r="AR61" s="948"/>
      <c r="AS61" s="948"/>
      <c r="AT61" s="948"/>
      <c r="AU61" s="948"/>
      <c r="AV61" s="948"/>
      <c r="AW61" s="948"/>
      <c r="AX61" s="948"/>
      <c r="AY61" s="948"/>
      <c r="AZ61" s="948"/>
      <c r="BA61" s="948"/>
      <c r="BB61" s="948"/>
      <c r="BC61" s="948"/>
      <c r="BD61" s="948"/>
      <c r="BE61" s="948"/>
      <c r="BF61" s="948"/>
      <c r="BG61" s="948"/>
      <c r="BH61" s="948"/>
      <c r="BI61" s="948"/>
      <c r="BJ61" s="948"/>
      <c r="BK61" s="948"/>
      <c r="BL61" s="948"/>
      <c r="BM61" s="948"/>
      <c r="BN61" s="948"/>
      <c r="BO61" s="948"/>
      <c r="BP61" s="948"/>
      <c r="BQ61" s="948"/>
      <c r="BR61" s="948"/>
      <c r="BS61" s="948"/>
      <c r="BT61" s="948"/>
      <c r="BU61" s="948"/>
      <c r="BV61" s="948"/>
      <c r="BW61" s="948"/>
      <c r="BX61" s="948"/>
      <c r="BY61" s="948"/>
      <c r="BZ61" s="948"/>
      <c r="CA61" s="948"/>
      <c r="CB61" s="948"/>
      <c r="CC61" s="948"/>
      <c r="CD61" s="948"/>
      <c r="CE61" s="948"/>
      <c r="CF61" s="948"/>
      <c r="CG61" s="948"/>
      <c r="CH61" s="948"/>
      <c r="CI61" s="948"/>
      <c r="CJ61" s="948"/>
      <c r="CK61" s="948"/>
      <c r="CL61" s="948"/>
      <c r="CM61" s="948"/>
      <c r="CN61" s="948"/>
      <c r="CO61" s="948"/>
      <c r="CP61" s="948"/>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row>
    <row r="62" spans="1:226" ht="14.1" customHeight="1">
      <c r="A62" s="12"/>
      <c r="B62" s="12"/>
      <c r="C62" s="12"/>
      <c r="D62" s="12"/>
      <c r="E62" s="38"/>
      <c r="F62" s="38"/>
      <c r="G62" s="12"/>
      <c r="H62" s="12"/>
      <c r="I62" s="12"/>
      <c r="J62" s="12"/>
      <c r="K62" s="12"/>
      <c r="L62" s="12"/>
      <c r="M62" s="948"/>
      <c r="N62" s="948"/>
      <c r="O62" s="948"/>
      <c r="P62" s="948"/>
      <c r="Q62" s="948"/>
      <c r="R62" s="948"/>
      <c r="S62" s="948"/>
      <c r="T62" s="948"/>
      <c r="U62" s="948"/>
      <c r="V62" s="948"/>
      <c r="W62" s="948"/>
      <c r="X62" s="948"/>
      <c r="Y62" s="948"/>
      <c r="Z62" s="948"/>
      <c r="AA62" s="948"/>
      <c r="AB62" s="948"/>
      <c r="AC62" s="948"/>
      <c r="AD62" s="948"/>
      <c r="AE62" s="948"/>
      <c r="AF62" s="948"/>
      <c r="AG62" s="948"/>
      <c r="AH62" s="948"/>
      <c r="AI62" s="948"/>
      <c r="AJ62" s="948"/>
      <c r="AK62" s="948"/>
      <c r="AL62" s="948"/>
      <c r="AM62" s="948"/>
      <c r="AN62" s="948"/>
      <c r="AO62" s="948"/>
      <c r="AP62" s="948"/>
      <c r="AQ62" s="948"/>
      <c r="AR62" s="948"/>
      <c r="AS62" s="948"/>
      <c r="AT62" s="948"/>
      <c r="AU62" s="948"/>
      <c r="AV62" s="948"/>
      <c r="AW62" s="948"/>
      <c r="AX62" s="948"/>
      <c r="AY62" s="948"/>
      <c r="AZ62" s="948"/>
      <c r="BA62" s="948"/>
      <c r="BB62" s="948"/>
      <c r="BC62" s="948"/>
      <c r="BD62" s="948"/>
      <c r="BE62" s="948"/>
      <c r="BF62" s="948"/>
      <c r="BG62" s="948"/>
      <c r="BH62" s="948"/>
      <c r="BI62" s="948"/>
      <c r="BJ62" s="948"/>
      <c r="BK62" s="948"/>
      <c r="BL62" s="948"/>
      <c r="BM62" s="948"/>
      <c r="BN62" s="948"/>
      <c r="BO62" s="948"/>
      <c r="BP62" s="948"/>
      <c r="BQ62" s="948"/>
      <c r="BR62" s="948"/>
      <c r="BS62" s="948"/>
      <c r="BT62" s="948"/>
      <c r="BU62" s="948"/>
      <c r="BV62" s="948"/>
      <c r="BW62" s="948"/>
      <c r="BX62" s="948"/>
      <c r="BY62" s="948"/>
      <c r="BZ62" s="948"/>
      <c r="CA62" s="948"/>
      <c r="CB62" s="948"/>
      <c r="CC62" s="948"/>
      <c r="CD62" s="948"/>
      <c r="CE62" s="948"/>
      <c r="CF62" s="948"/>
      <c r="CG62" s="948"/>
      <c r="CH62" s="948"/>
      <c r="CI62" s="948"/>
      <c r="CJ62" s="948"/>
      <c r="CK62" s="948"/>
      <c r="CL62" s="948"/>
      <c r="CM62" s="948"/>
      <c r="CN62" s="948"/>
      <c r="CO62" s="948"/>
      <c r="CP62" s="948"/>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row>
    <row r="63" spans="1:226" ht="14.1" customHeight="1">
      <c r="A63" s="12"/>
      <c r="B63" s="12"/>
      <c r="C63" s="12"/>
      <c r="D63" s="12"/>
      <c r="E63" s="38"/>
      <c r="F63" s="38"/>
      <c r="G63" s="12"/>
      <c r="H63" s="12"/>
      <c r="I63" s="12"/>
      <c r="J63" s="12"/>
      <c r="K63" s="12"/>
      <c r="L63" s="12"/>
      <c r="M63" s="948"/>
      <c r="N63" s="948"/>
      <c r="O63" s="959"/>
      <c r="P63" s="960"/>
      <c r="Q63" s="948"/>
      <c r="R63" s="948"/>
      <c r="S63" s="948"/>
      <c r="T63" s="948"/>
      <c r="U63" s="948"/>
      <c r="V63" s="948"/>
      <c r="W63" s="948"/>
      <c r="X63" s="948"/>
      <c r="Y63" s="948"/>
      <c r="Z63" s="948"/>
      <c r="AA63" s="948"/>
      <c r="AB63" s="948"/>
      <c r="AC63" s="948"/>
      <c r="AD63" s="948"/>
      <c r="AE63" s="948"/>
      <c r="AF63" s="948"/>
      <c r="AG63" s="948"/>
      <c r="AH63" s="948"/>
      <c r="AI63" s="948"/>
      <c r="AJ63" s="948"/>
      <c r="AK63" s="948"/>
      <c r="AL63" s="948"/>
      <c r="AM63" s="948"/>
      <c r="AN63" s="948"/>
      <c r="AO63" s="948"/>
      <c r="AP63" s="948"/>
      <c r="AQ63" s="948"/>
      <c r="AR63" s="948"/>
      <c r="AS63" s="948"/>
      <c r="AT63" s="948"/>
      <c r="AU63" s="948"/>
      <c r="AV63" s="948"/>
      <c r="AW63" s="948"/>
      <c r="AX63" s="948"/>
      <c r="AY63" s="948"/>
      <c r="AZ63" s="948"/>
      <c r="BA63" s="948"/>
      <c r="BB63" s="948"/>
      <c r="BC63" s="948"/>
      <c r="BD63" s="948"/>
      <c r="BE63" s="948"/>
      <c r="BF63" s="948"/>
      <c r="BG63" s="948"/>
      <c r="BH63" s="948"/>
      <c r="BI63" s="948"/>
      <c r="BJ63" s="948"/>
      <c r="BK63" s="948"/>
      <c r="BL63" s="948"/>
      <c r="BM63" s="948"/>
      <c r="BN63" s="948"/>
      <c r="BO63" s="948"/>
      <c r="BP63" s="948"/>
      <c r="BQ63" s="948"/>
      <c r="BR63" s="948"/>
      <c r="BS63" s="948"/>
      <c r="BT63" s="948"/>
      <c r="BU63" s="948"/>
      <c r="BV63" s="948"/>
      <c r="BW63" s="948"/>
      <c r="BX63" s="948"/>
      <c r="BY63" s="948"/>
      <c r="BZ63" s="948"/>
      <c r="CA63" s="948"/>
      <c r="CB63" s="948"/>
      <c r="CC63" s="948"/>
      <c r="CD63" s="948"/>
      <c r="CE63" s="948"/>
      <c r="CF63" s="948"/>
      <c r="CG63" s="948"/>
      <c r="CH63" s="948"/>
      <c r="CI63" s="948"/>
      <c r="CJ63" s="948"/>
      <c r="CK63" s="948"/>
      <c r="CL63" s="948"/>
      <c r="CM63" s="948"/>
      <c r="CN63" s="948"/>
      <c r="CO63" s="948"/>
      <c r="CP63" s="948"/>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row>
    <row r="64" spans="1:226" ht="14.1" customHeight="1">
      <c r="A64" s="41"/>
      <c r="B64" s="12"/>
      <c r="C64" s="12"/>
      <c r="D64" s="12"/>
      <c r="E64" s="38"/>
      <c r="F64" s="38"/>
      <c r="G64" s="12"/>
      <c r="H64" s="12"/>
      <c r="I64" s="12"/>
      <c r="J64" s="12"/>
      <c r="K64" s="12"/>
      <c r="L64" s="12"/>
      <c r="M64" s="948"/>
      <c r="N64" s="961"/>
      <c r="O64" s="962"/>
      <c r="P64" s="962"/>
      <c r="Q64" s="948"/>
      <c r="R64" s="948"/>
      <c r="S64" s="948"/>
      <c r="T64" s="948"/>
      <c r="U64" s="948"/>
      <c r="V64" s="948"/>
      <c r="W64" s="948"/>
      <c r="X64" s="948"/>
      <c r="Y64" s="948"/>
      <c r="Z64" s="948"/>
      <c r="AA64" s="948"/>
      <c r="AB64" s="948"/>
      <c r="AC64" s="948"/>
      <c r="AD64" s="948"/>
      <c r="AE64" s="948"/>
      <c r="AF64" s="948"/>
      <c r="AG64" s="948"/>
      <c r="AH64" s="948"/>
      <c r="AI64" s="948"/>
      <c r="AJ64" s="948"/>
      <c r="AK64" s="948"/>
      <c r="AL64" s="948"/>
      <c r="AM64" s="948"/>
      <c r="AN64" s="948"/>
      <c r="AO64" s="948"/>
      <c r="AP64" s="948"/>
      <c r="AQ64" s="948"/>
      <c r="AR64" s="948"/>
      <c r="AS64" s="948"/>
      <c r="AT64" s="948"/>
      <c r="AU64" s="948"/>
      <c r="AV64" s="948"/>
      <c r="AW64" s="948"/>
      <c r="AX64" s="948"/>
      <c r="AY64" s="948"/>
      <c r="AZ64" s="948"/>
      <c r="BA64" s="948"/>
      <c r="BB64" s="948"/>
      <c r="BC64" s="948"/>
      <c r="BD64" s="948"/>
      <c r="BE64" s="948"/>
      <c r="BF64" s="948"/>
      <c r="BG64" s="948"/>
      <c r="BH64" s="948"/>
      <c r="BI64" s="948"/>
      <c r="BJ64" s="948"/>
      <c r="BK64" s="948"/>
      <c r="BL64" s="948"/>
      <c r="BM64" s="948"/>
      <c r="BN64" s="948"/>
      <c r="BO64" s="948"/>
      <c r="BP64" s="948"/>
      <c r="BQ64" s="948"/>
      <c r="BR64" s="948"/>
      <c r="BS64" s="948"/>
      <c r="BT64" s="948"/>
      <c r="BU64" s="948"/>
      <c r="BV64" s="948"/>
      <c r="BW64" s="948"/>
      <c r="BX64" s="948"/>
      <c r="BY64" s="948"/>
      <c r="BZ64" s="948"/>
      <c r="CA64" s="948"/>
      <c r="CB64" s="948"/>
      <c r="CC64" s="948"/>
      <c r="CD64" s="948"/>
      <c r="CE64" s="948"/>
      <c r="CF64" s="948"/>
      <c r="CG64" s="948"/>
      <c r="CH64" s="948"/>
      <c r="CI64" s="948"/>
      <c r="CJ64" s="948"/>
      <c r="CK64" s="948"/>
      <c r="CL64" s="948"/>
      <c r="CM64" s="948"/>
      <c r="CN64" s="948"/>
      <c r="CO64" s="948"/>
      <c r="CP64" s="948"/>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row>
    <row r="65" spans="1:226" ht="14.1" customHeight="1">
      <c r="A65" s="12"/>
      <c r="B65" s="12"/>
      <c r="C65" s="12"/>
      <c r="D65" s="12"/>
      <c r="E65" s="38"/>
      <c r="F65" s="38"/>
      <c r="G65" s="12"/>
      <c r="H65" s="12"/>
      <c r="I65" s="12"/>
      <c r="J65" s="12"/>
      <c r="K65" s="12"/>
      <c r="L65" s="12"/>
      <c r="M65" s="948"/>
      <c r="N65" s="948"/>
      <c r="O65" s="948"/>
      <c r="P65" s="948"/>
      <c r="Q65" s="948"/>
      <c r="R65" s="948"/>
      <c r="S65" s="948"/>
      <c r="T65" s="948"/>
      <c r="U65" s="948"/>
      <c r="V65" s="948"/>
      <c r="W65" s="948"/>
      <c r="X65" s="948"/>
      <c r="Y65" s="948"/>
      <c r="Z65" s="948"/>
      <c r="AA65" s="948"/>
      <c r="AB65" s="948"/>
      <c r="AC65" s="948"/>
      <c r="AD65" s="948"/>
      <c r="AE65" s="948"/>
      <c r="AF65" s="948"/>
      <c r="AG65" s="948"/>
      <c r="AH65" s="948"/>
      <c r="AI65" s="948"/>
      <c r="AJ65" s="948"/>
      <c r="AK65" s="948"/>
      <c r="AL65" s="948"/>
      <c r="AM65" s="948"/>
      <c r="AN65" s="948"/>
      <c r="AO65" s="948"/>
      <c r="AP65" s="948"/>
      <c r="AQ65" s="948"/>
      <c r="AR65" s="948"/>
      <c r="AS65" s="948"/>
      <c r="AT65" s="948"/>
      <c r="AU65" s="948"/>
      <c r="AV65" s="948"/>
      <c r="AW65" s="948"/>
      <c r="AX65" s="948"/>
      <c r="AY65" s="948"/>
      <c r="AZ65" s="948"/>
      <c r="BA65" s="948"/>
      <c r="BB65" s="948"/>
      <c r="BC65" s="948"/>
      <c r="BD65" s="948"/>
      <c r="BE65" s="948"/>
      <c r="BF65" s="948"/>
      <c r="BG65" s="948"/>
      <c r="BH65" s="948"/>
      <c r="BI65" s="948"/>
      <c r="BJ65" s="948"/>
      <c r="BK65" s="948"/>
      <c r="BL65" s="948"/>
      <c r="BM65" s="948"/>
      <c r="BN65" s="948"/>
      <c r="BO65" s="948"/>
      <c r="BP65" s="948"/>
      <c r="BQ65" s="948"/>
      <c r="BR65" s="948"/>
      <c r="BS65" s="948"/>
      <c r="BT65" s="948"/>
      <c r="BU65" s="948"/>
      <c r="BV65" s="948"/>
      <c r="BW65" s="948"/>
      <c r="BX65" s="948"/>
      <c r="BY65" s="948"/>
      <c r="BZ65" s="948"/>
      <c r="CA65" s="948"/>
      <c r="CB65" s="948"/>
      <c r="CC65" s="948"/>
      <c r="CD65" s="948"/>
      <c r="CE65" s="948"/>
      <c r="CF65" s="948"/>
      <c r="CG65" s="948"/>
      <c r="CH65" s="948"/>
      <c r="CI65" s="948"/>
      <c r="CJ65" s="948"/>
      <c r="CK65" s="948"/>
      <c r="CL65" s="948"/>
      <c r="CM65" s="948"/>
      <c r="CN65" s="948"/>
      <c r="CO65" s="948"/>
      <c r="CP65" s="948"/>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row>
    <row r="66" spans="1:226" ht="14.1" customHeight="1">
      <c r="A66" s="12"/>
      <c r="B66" s="12"/>
      <c r="C66" s="12"/>
      <c r="D66" s="12"/>
      <c r="E66" s="38"/>
      <c r="F66" s="38"/>
      <c r="G66" s="12"/>
      <c r="H66" s="12"/>
      <c r="I66" s="12"/>
      <c r="J66" s="12"/>
      <c r="K66" s="12"/>
      <c r="L66" s="12"/>
      <c r="M66" s="948"/>
      <c r="N66" s="948"/>
      <c r="O66" s="948"/>
      <c r="P66" s="948"/>
      <c r="Q66" s="948"/>
      <c r="R66" s="948"/>
      <c r="S66" s="948"/>
      <c r="T66" s="948"/>
      <c r="U66" s="948"/>
      <c r="V66" s="948"/>
      <c r="W66" s="948"/>
      <c r="X66" s="948"/>
      <c r="Y66" s="948"/>
      <c r="Z66" s="948"/>
      <c r="AA66" s="948"/>
      <c r="AB66" s="948"/>
      <c r="AC66" s="948"/>
      <c r="AD66" s="948"/>
      <c r="AE66" s="948"/>
      <c r="AF66" s="948"/>
      <c r="AG66" s="948"/>
      <c r="AH66" s="948"/>
      <c r="AI66" s="948"/>
      <c r="AJ66" s="948"/>
      <c r="AK66" s="948"/>
      <c r="AL66" s="948"/>
      <c r="AM66" s="948"/>
      <c r="AN66" s="948"/>
      <c r="AO66" s="948"/>
      <c r="AP66" s="948"/>
      <c r="AQ66" s="948"/>
      <c r="AR66" s="948"/>
      <c r="AS66" s="948"/>
      <c r="AT66" s="948"/>
      <c r="AU66" s="948"/>
      <c r="AV66" s="948"/>
      <c r="AW66" s="948"/>
      <c r="AX66" s="948"/>
      <c r="AY66" s="948"/>
      <c r="AZ66" s="948"/>
      <c r="BA66" s="948"/>
      <c r="BB66" s="948"/>
      <c r="BC66" s="948"/>
      <c r="BD66" s="948"/>
      <c r="BE66" s="948"/>
      <c r="BF66" s="948"/>
      <c r="BG66" s="948"/>
      <c r="BH66" s="948"/>
      <c r="BI66" s="948"/>
      <c r="BJ66" s="948"/>
      <c r="BK66" s="948"/>
      <c r="BL66" s="948"/>
      <c r="BM66" s="948"/>
      <c r="BN66" s="948"/>
      <c r="BO66" s="948"/>
      <c r="BP66" s="948"/>
      <c r="BQ66" s="948"/>
      <c r="BR66" s="948"/>
      <c r="BS66" s="948"/>
      <c r="BT66" s="948"/>
      <c r="BU66" s="948"/>
      <c r="BV66" s="948"/>
      <c r="BW66" s="948"/>
      <c r="BX66" s="948"/>
      <c r="BY66" s="948"/>
      <c r="BZ66" s="948"/>
      <c r="CA66" s="948"/>
      <c r="CB66" s="948"/>
      <c r="CC66" s="948"/>
      <c r="CD66" s="948"/>
      <c r="CE66" s="948"/>
      <c r="CF66" s="948"/>
      <c r="CG66" s="948"/>
      <c r="CH66" s="948"/>
      <c r="CI66" s="948"/>
      <c r="CJ66" s="948"/>
      <c r="CK66" s="948"/>
      <c r="CL66" s="948"/>
      <c r="CM66" s="948"/>
      <c r="CN66" s="948"/>
      <c r="CO66" s="948"/>
      <c r="CP66" s="948"/>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row>
    <row r="67" spans="1:226" ht="14.1" customHeight="1">
      <c r="A67" s="12"/>
      <c r="B67" s="12"/>
      <c r="C67" s="12"/>
      <c r="D67" s="12"/>
      <c r="E67" s="38"/>
      <c r="F67" s="38"/>
      <c r="G67" s="12"/>
      <c r="H67" s="12"/>
      <c r="I67" s="12"/>
      <c r="J67" s="12"/>
      <c r="K67" s="12"/>
      <c r="L67" s="12"/>
      <c r="M67" s="948"/>
      <c r="N67" s="948"/>
      <c r="O67" s="948"/>
      <c r="P67" s="948"/>
      <c r="Q67" s="948"/>
      <c r="R67" s="948"/>
      <c r="S67" s="948"/>
      <c r="T67" s="948"/>
      <c r="U67" s="948"/>
      <c r="V67" s="948"/>
      <c r="W67" s="948"/>
      <c r="X67" s="948"/>
      <c r="Y67" s="948"/>
      <c r="Z67" s="948"/>
      <c r="AA67" s="948"/>
      <c r="AB67" s="948"/>
      <c r="AC67" s="948"/>
      <c r="AD67" s="948"/>
      <c r="AE67" s="948"/>
      <c r="AF67" s="948"/>
      <c r="AG67" s="948"/>
      <c r="AH67" s="948"/>
      <c r="AI67" s="948"/>
      <c r="AJ67" s="948"/>
      <c r="AK67" s="948"/>
      <c r="AL67" s="948"/>
      <c r="AM67" s="948"/>
      <c r="AN67" s="948"/>
      <c r="AO67" s="948"/>
      <c r="AP67" s="948"/>
      <c r="AQ67" s="948"/>
      <c r="AR67" s="948"/>
      <c r="AS67" s="948"/>
      <c r="AT67" s="948"/>
      <c r="AU67" s="948"/>
      <c r="AV67" s="948"/>
      <c r="AW67" s="948"/>
      <c r="AX67" s="948"/>
      <c r="AY67" s="948"/>
      <c r="AZ67" s="948"/>
      <c r="BA67" s="948"/>
      <c r="BB67" s="948"/>
      <c r="BC67" s="948"/>
      <c r="BD67" s="948"/>
      <c r="BE67" s="948"/>
      <c r="BF67" s="948"/>
      <c r="BG67" s="948"/>
      <c r="BH67" s="948"/>
      <c r="BI67" s="948"/>
      <c r="BJ67" s="948"/>
      <c r="BK67" s="948"/>
      <c r="BL67" s="948"/>
      <c r="BM67" s="948"/>
      <c r="BN67" s="948"/>
      <c r="BO67" s="948"/>
      <c r="BP67" s="948"/>
      <c r="BQ67" s="948"/>
      <c r="BR67" s="948"/>
      <c r="BS67" s="948"/>
      <c r="BT67" s="948"/>
      <c r="BU67" s="948"/>
      <c r="BV67" s="948"/>
      <c r="BW67" s="948"/>
      <c r="BX67" s="948"/>
      <c r="BY67" s="948"/>
      <c r="BZ67" s="948"/>
      <c r="CA67" s="948"/>
      <c r="CB67" s="948"/>
      <c r="CC67" s="948"/>
      <c r="CD67" s="948"/>
      <c r="CE67" s="948"/>
      <c r="CF67" s="948"/>
      <c r="CG67" s="948"/>
      <c r="CH67" s="948"/>
      <c r="CI67" s="948"/>
      <c r="CJ67" s="948"/>
      <c r="CK67" s="948"/>
      <c r="CL67" s="948"/>
      <c r="CM67" s="948"/>
      <c r="CN67" s="948"/>
      <c r="CO67" s="948"/>
      <c r="CP67" s="948"/>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row>
    <row r="68" spans="1:226" ht="14.1" customHeight="1">
      <c r="A68" s="12"/>
      <c r="B68" s="12"/>
      <c r="C68" s="12"/>
      <c r="D68" s="12"/>
      <c r="E68" s="38"/>
      <c r="F68" s="38"/>
      <c r="G68" s="12"/>
      <c r="H68" s="12"/>
      <c r="I68" s="12"/>
      <c r="J68" s="12"/>
      <c r="K68" s="12"/>
      <c r="L68" s="12"/>
      <c r="M68" s="948"/>
      <c r="N68" s="948"/>
      <c r="O68" s="948"/>
      <c r="P68" s="948"/>
      <c r="Q68" s="948"/>
      <c r="R68" s="948"/>
      <c r="S68" s="948"/>
      <c r="T68" s="948"/>
      <c r="U68" s="948"/>
      <c r="V68" s="948"/>
      <c r="W68" s="948"/>
      <c r="X68" s="948"/>
      <c r="Y68" s="948"/>
      <c r="Z68" s="948"/>
      <c r="AA68" s="948"/>
      <c r="AB68" s="948"/>
      <c r="AC68" s="948"/>
      <c r="AD68" s="948"/>
      <c r="AE68" s="948"/>
      <c r="AF68" s="948"/>
      <c r="AG68" s="948"/>
      <c r="AH68" s="948"/>
      <c r="AI68" s="948"/>
      <c r="AJ68" s="948"/>
      <c r="AK68" s="948"/>
      <c r="AL68" s="948"/>
      <c r="AM68" s="948"/>
      <c r="AN68" s="948"/>
      <c r="AO68" s="948"/>
      <c r="AP68" s="948"/>
      <c r="AQ68" s="948"/>
      <c r="AR68" s="948"/>
      <c r="AS68" s="948"/>
      <c r="AT68" s="948"/>
      <c r="AU68" s="948"/>
      <c r="AV68" s="948"/>
      <c r="AW68" s="948"/>
      <c r="AX68" s="948"/>
      <c r="AY68" s="948"/>
      <c r="AZ68" s="948"/>
      <c r="BA68" s="948"/>
      <c r="BB68" s="948"/>
      <c r="BC68" s="948"/>
      <c r="BD68" s="948"/>
      <c r="BE68" s="948"/>
      <c r="BF68" s="948"/>
      <c r="BG68" s="948"/>
      <c r="BH68" s="948"/>
      <c r="BI68" s="948"/>
      <c r="BJ68" s="948"/>
      <c r="BK68" s="948"/>
      <c r="BL68" s="948"/>
      <c r="BM68" s="948"/>
      <c r="BN68" s="948"/>
      <c r="BO68" s="948"/>
      <c r="BP68" s="948"/>
      <c r="BQ68" s="948"/>
      <c r="BR68" s="948"/>
      <c r="BS68" s="948"/>
      <c r="BT68" s="948"/>
      <c r="BU68" s="948"/>
      <c r="BV68" s="948"/>
      <c r="BW68" s="948"/>
      <c r="BX68" s="948"/>
      <c r="BY68" s="948"/>
      <c r="BZ68" s="948"/>
      <c r="CA68" s="948"/>
      <c r="CB68" s="948"/>
      <c r="CC68" s="948"/>
      <c r="CD68" s="948"/>
      <c r="CE68" s="948"/>
      <c r="CF68" s="948"/>
      <c r="CG68" s="948"/>
      <c r="CH68" s="948"/>
      <c r="CI68" s="948"/>
      <c r="CJ68" s="948"/>
      <c r="CK68" s="948"/>
      <c r="CL68" s="948"/>
      <c r="CM68" s="948"/>
      <c r="CN68" s="948"/>
      <c r="CO68" s="948"/>
      <c r="CP68" s="948"/>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row>
    <row r="69" spans="1:226" ht="14.1" customHeight="1">
      <c r="A69" s="12"/>
      <c r="B69" s="12"/>
      <c r="C69" s="12"/>
      <c r="D69" s="12"/>
      <c r="E69" s="38"/>
      <c r="F69" s="38"/>
      <c r="G69" s="12"/>
      <c r="H69" s="12"/>
      <c r="I69" s="12"/>
      <c r="J69" s="12"/>
      <c r="K69" s="12"/>
      <c r="L69" s="12"/>
      <c r="M69" s="948"/>
      <c r="N69" s="948"/>
      <c r="O69" s="948"/>
      <c r="P69" s="948"/>
      <c r="Q69" s="948"/>
      <c r="R69" s="948"/>
      <c r="S69" s="948"/>
      <c r="T69" s="948"/>
      <c r="U69" s="948"/>
      <c r="V69" s="948"/>
      <c r="W69" s="948"/>
      <c r="X69" s="948"/>
      <c r="Y69" s="948"/>
      <c r="Z69" s="948"/>
      <c r="AA69" s="948"/>
      <c r="AB69" s="948"/>
      <c r="AC69" s="948"/>
      <c r="AD69" s="948"/>
      <c r="AE69" s="948"/>
      <c r="AF69" s="948"/>
      <c r="AG69" s="948"/>
      <c r="AH69" s="948"/>
      <c r="AI69" s="948"/>
      <c r="AJ69" s="948"/>
      <c r="AK69" s="948"/>
      <c r="AL69" s="948"/>
      <c r="AM69" s="948"/>
      <c r="AN69" s="948"/>
      <c r="AO69" s="948"/>
      <c r="AP69" s="948"/>
      <c r="AQ69" s="948"/>
      <c r="AR69" s="948"/>
      <c r="AS69" s="948"/>
      <c r="AT69" s="948"/>
      <c r="AU69" s="948"/>
      <c r="AV69" s="948"/>
      <c r="AW69" s="948"/>
      <c r="AX69" s="948"/>
      <c r="AY69" s="948"/>
      <c r="AZ69" s="948"/>
      <c r="BA69" s="948"/>
      <c r="BB69" s="948"/>
      <c r="BC69" s="948"/>
      <c r="BD69" s="948"/>
      <c r="BE69" s="948"/>
      <c r="BF69" s="948"/>
      <c r="BG69" s="948"/>
      <c r="BH69" s="948"/>
      <c r="BI69" s="948"/>
      <c r="BJ69" s="948"/>
      <c r="BK69" s="948"/>
      <c r="BL69" s="948"/>
      <c r="BM69" s="948"/>
      <c r="BN69" s="948"/>
      <c r="BO69" s="948"/>
      <c r="BP69" s="948"/>
      <c r="BQ69" s="948"/>
      <c r="BR69" s="948"/>
      <c r="BS69" s="948"/>
      <c r="BT69" s="948"/>
      <c r="BU69" s="948"/>
      <c r="BV69" s="948"/>
      <c r="BW69" s="948"/>
      <c r="BX69" s="948"/>
      <c r="BY69" s="948"/>
      <c r="BZ69" s="948"/>
      <c r="CA69" s="948"/>
      <c r="CB69" s="948"/>
      <c r="CC69" s="948"/>
      <c r="CD69" s="948"/>
      <c r="CE69" s="948"/>
      <c r="CF69" s="948"/>
      <c r="CG69" s="948"/>
      <c r="CH69" s="948"/>
      <c r="CI69" s="948"/>
      <c r="CJ69" s="948"/>
      <c r="CK69" s="948"/>
      <c r="CL69" s="948"/>
      <c r="CM69" s="948"/>
      <c r="CN69" s="948"/>
      <c r="CO69" s="948"/>
      <c r="CP69" s="948"/>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row>
    <row r="70" spans="1:226" ht="14.1" customHeight="1">
      <c r="A70" s="12"/>
      <c r="B70" s="12"/>
      <c r="C70" s="12"/>
      <c r="D70" s="12"/>
      <c r="E70" s="38"/>
      <c r="F70" s="38"/>
      <c r="G70" s="12"/>
      <c r="H70" s="12"/>
      <c r="I70" s="12"/>
      <c r="J70" s="12"/>
      <c r="K70" s="12"/>
      <c r="L70" s="12"/>
      <c r="M70" s="948"/>
      <c r="N70" s="948"/>
      <c r="O70" s="948"/>
      <c r="P70" s="948"/>
      <c r="Q70" s="948"/>
      <c r="R70" s="948"/>
      <c r="S70" s="948"/>
      <c r="T70" s="948"/>
      <c r="U70" s="948"/>
      <c r="V70" s="948"/>
      <c r="W70" s="948"/>
      <c r="X70" s="948"/>
      <c r="Y70" s="948"/>
      <c r="Z70" s="948"/>
      <c r="AA70" s="948"/>
      <c r="AB70" s="948"/>
      <c r="AC70" s="948"/>
      <c r="AD70" s="948"/>
      <c r="AE70" s="948"/>
      <c r="AF70" s="948"/>
      <c r="AG70" s="948"/>
      <c r="AH70" s="948"/>
      <c r="AI70" s="948"/>
      <c r="AJ70" s="948"/>
      <c r="AK70" s="948"/>
      <c r="AL70" s="948"/>
      <c r="AM70" s="948"/>
      <c r="AN70" s="948"/>
      <c r="AO70" s="948"/>
      <c r="AP70" s="948"/>
      <c r="AQ70" s="948"/>
      <c r="AR70" s="948"/>
      <c r="AS70" s="948"/>
      <c r="AT70" s="948"/>
      <c r="AU70" s="948"/>
      <c r="AV70" s="948"/>
      <c r="AW70" s="948"/>
      <c r="AX70" s="948"/>
      <c r="AY70" s="948"/>
      <c r="AZ70" s="948"/>
      <c r="BA70" s="948"/>
      <c r="BB70" s="948"/>
      <c r="BC70" s="948"/>
      <c r="BD70" s="948"/>
      <c r="BE70" s="948"/>
      <c r="BF70" s="948"/>
      <c r="BG70" s="948"/>
      <c r="BH70" s="948"/>
      <c r="BI70" s="948"/>
      <c r="BJ70" s="948"/>
      <c r="BK70" s="948"/>
      <c r="BL70" s="948"/>
      <c r="BM70" s="948"/>
      <c r="BN70" s="948"/>
      <c r="BO70" s="948"/>
      <c r="BP70" s="948"/>
      <c r="BQ70" s="948"/>
      <c r="BR70" s="948"/>
      <c r="BS70" s="948"/>
      <c r="BT70" s="948"/>
      <c r="BU70" s="948"/>
      <c r="BV70" s="948"/>
      <c r="BW70" s="948"/>
      <c r="BX70" s="948"/>
      <c r="BY70" s="948"/>
      <c r="BZ70" s="948"/>
      <c r="CA70" s="948"/>
      <c r="CB70" s="948"/>
      <c r="CC70" s="948"/>
      <c r="CD70" s="948"/>
      <c r="CE70" s="948"/>
      <c r="CF70" s="948"/>
      <c r="CG70" s="948"/>
      <c r="CH70" s="948"/>
      <c r="CI70" s="948"/>
      <c r="CJ70" s="948"/>
      <c r="CK70" s="948"/>
      <c r="CL70" s="948"/>
      <c r="CM70" s="948"/>
      <c r="CN70" s="948"/>
      <c r="CO70" s="948"/>
      <c r="CP70" s="948"/>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row>
    <row r="71" spans="1:226" ht="14.1" customHeight="1">
      <c r="A71" s="12"/>
      <c r="B71" s="12"/>
      <c r="C71" s="12"/>
      <c r="D71" s="12"/>
      <c r="E71" s="38"/>
      <c r="F71" s="38"/>
      <c r="G71" s="12"/>
      <c r="H71" s="12"/>
      <c r="I71" s="12"/>
      <c r="J71" s="12"/>
      <c r="K71" s="12"/>
      <c r="L71" s="12"/>
      <c r="M71" s="948"/>
      <c r="N71" s="948"/>
      <c r="O71" s="948"/>
      <c r="P71" s="948"/>
      <c r="Q71" s="948"/>
      <c r="R71" s="948"/>
      <c r="S71" s="948"/>
      <c r="T71" s="948"/>
      <c r="U71" s="948"/>
      <c r="V71" s="948"/>
      <c r="W71" s="948"/>
      <c r="X71" s="948"/>
      <c r="Y71" s="948"/>
      <c r="Z71" s="948"/>
      <c r="AA71" s="948"/>
      <c r="AB71" s="948"/>
      <c r="AC71" s="948"/>
      <c r="AD71" s="948"/>
      <c r="AE71" s="948"/>
      <c r="AF71" s="948"/>
      <c r="AG71" s="948"/>
      <c r="AH71" s="948"/>
      <c r="AI71" s="948"/>
      <c r="AJ71" s="948"/>
      <c r="AK71" s="948"/>
      <c r="AL71" s="948"/>
      <c r="AM71" s="948"/>
      <c r="AN71" s="948"/>
      <c r="AO71" s="948"/>
      <c r="AP71" s="948"/>
      <c r="AQ71" s="948"/>
      <c r="AR71" s="948"/>
      <c r="AS71" s="948"/>
      <c r="AT71" s="948"/>
      <c r="AU71" s="948"/>
      <c r="AV71" s="948"/>
      <c r="AW71" s="948"/>
      <c r="AX71" s="948"/>
      <c r="AY71" s="948"/>
      <c r="AZ71" s="948"/>
      <c r="BA71" s="948"/>
      <c r="BB71" s="948"/>
      <c r="BC71" s="948"/>
      <c r="BD71" s="948"/>
      <c r="BE71" s="948"/>
      <c r="BF71" s="948"/>
      <c r="BG71" s="948"/>
      <c r="BH71" s="948"/>
      <c r="BI71" s="948"/>
      <c r="BJ71" s="948"/>
      <c r="BK71" s="948"/>
      <c r="BL71" s="948"/>
      <c r="BM71" s="948"/>
      <c r="BN71" s="948"/>
      <c r="BO71" s="948"/>
      <c r="BP71" s="948"/>
      <c r="BQ71" s="948"/>
      <c r="BR71" s="948"/>
      <c r="BS71" s="948"/>
      <c r="BT71" s="948"/>
      <c r="BU71" s="948"/>
      <c r="BV71" s="948"/>
      <c r="BW71" s="948"/>
      <c r="BX71" s="948"/>
      <c r="BY71" s="948"/>
      <c r="BZ71" s="948"/>
      <c r="CA71" s="948"/>
      <c r="CB71" s="948"/>
      <c r="CC71" s="948"/>
      <c r="CD71" s="948"/>
      <c r="CE71" s="948"/>
      <c r="CF71" s="948"/>
      <c r="CG71" s="948"/>
      <c r="CH71" s="948"/>
      <c r="CI71" s="948"/>
      <c r="CJ71" s="948"/>
      <c r="CK71" s="948"/>
      <c r="CL71" s="948"/>
      <c r="CM71" s="948"/>
      <c r="CN71" s="948"/>
      <c r="CO71" s="948"/>
      <c r="CP71" s="948"/>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row>
    <row r="72" spans="1:226" ht="14.1" customHeight="1">
      <c r="A72" s="12"/>
      <c r="B72" s="12"/>
      <c r="C72" s="12"/>
      <c r="D72" s="12"/>
      <c r="E72" s="38"/>
      <c r="F72" s="38"/>
      <c r="G72" s="12"/>
      <c r="H72" s="12"/>
      <c r="I72" s="12"/>
      <c r="J72" s="12"/>
      <c r="K72" s="12"/>
      <c r="L72" s="12"/>
      <c r="M72" s="948"/>
      <c r="N72" s="948"/>
      <c r="O72" s="948"/>
      <c r="P72" s="948"/>
      <c r="Q72" s="948"/>
      <c r="R72" s="948"/>
      <c r="S72" s="948"/>
      <c r="T72" s="948"/>
      <c r="U72" s="948"/>
      <c r="V72" s="948"/>
      <c r="W72" s="948"/>
      <c r="X72" s="948"/>
      <c r="Y72" s="948"/>
      <c r="Z72" s="948"/>
      <c r="AA72" s="948"/>
      <c r="AB72" s="948"/>
      <c r="AC72" s="948"/>
      <c r="AD72" s="948"/>
      <c r="AE72" s="948"/>
      <c r="AF72" s="948"/>
      <c r="AG72" s="948"/>
      <c r="AH72" s="948"/>
      <c r="AI72" s="948"/>
      <c r="AJ72" s="948"/>
      <c r="AK72" s="948"/>
      <c r="AL72" s="948"/>
      <c r="AM72" s="948"/>
      <c r="AN72" s="948"/>
      <c r="AO72" s="948"/>
      <c r="AP72" s="948"/>
      <c r="AQ72" s="948"/>
      <c r="AR72" s="948"/>
      <c r="AS72" s="948"/>
      <c r="AT72" s="948"/>
      <c r="AU72" s="948"/>
      <c r="AV72" s="948"/>
      <c r="AW72" s="948"/>
      <c r="AX72" s="948"/>
      <c r="AY72" s="948"/>
      <c r="AZ72" s="948"/>
      <c r="BA72" s="948"/>
      <c r="BB72" s="948"/>
      <c r="BC72" s="948"/>
      <c r="BD72" s="948"/>
      <c r="BE72" s="948"/>
      <c r="BF72" s="948"/>
      <c r="BG72" s="948"/>
      <c r="BH72" s="948"/>
      <c r="BI72" s="948"/>
      <c r="BJ72" s="948"/>
      <c r="BK72" s="948"/>
      <c r="BL72" s="948"/>
      <c r="BM72" s="948"/>
      <c r="BN72" s="948"/>
      <c r="BO72" s="948"/>
      <c r="BP72" s="948"/>
      <c r="BQ72" s="948"/>
      <c r="BR72" s="948"/>
      <c r="BS72" s="948"/>
      <c r="BT72" s="948"/>
      <c r="BU72" s="948"/>
      <c r="BV72" s="948"/>
      <c r="BW72" s="948"/>
      <c r="BX72" s="948"/>
      <c r="BY72" s="948"/>
      <c r="BZ72" s="948"/>
      <c r="CA72" s="948"/>
      <c r="CB72" s="948"/>
      <c r="CC72" s="948"/>
      <c r="CD72" s="948"/>
      <c r="CE72" s="948"/>
      <c r="CF72" s="948"/>
      <c r="CG72" s="948"/>
      <c r="CH72" s="948"/>
      <c r="CI72" s="948"/>
      <c r="CJ72" s="948"/>
      <c r="CK72" s="948"/>
      <c r="CL72" s="948"/>
      <c r="CM72" s="948"/>
      <c r="CN72" s="948"/>
      <c r="CO72" s="948"/>
      <c r="CP72" s="948"/>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row>
    <row r="73" spans="1:226" ht="14.1" customHeight="1">
      <c r="A73" s="12"/>
      <c r="B73" s="12"/>
      <c r="C73" s="12"/>
      <c r="D73" s="12"/>
      <c r="E73" s="38"/>
      <c r="F73" s="38"/>
      <c r="G73" s="12"/>
      <c r="H73" s="12"/>
      <c r="I73" s="12"/>
      <c r="J73" s="12"/>
      <c r="K73" s="12"/>
      <c r="L73" s="12"/>
      <c r="M73" s="948"/>
      <c r="N73" s="948"/>
      <c r="O73" s="948"/>
      <c r="P73" s="948"/>
      <c r="Q73" s="948"/>
      <c r="R73" s="948"/>
      <c r="S73" s="948"/>
      <c r="T73" s="948"/>
      <c r="U73" s="948"/>
      <c r="V73" s="948"/>
      <c r="W73" s="948"/>
      <c r="X73" s="948"/>
      <c r="Y73" s="948"/>
      <c r="Z73" s="948"/>
      <c r="AA73" s="948"/>
      <c r="AB73" s="948"/>
      <c r="AC73" s="948"/>
      <c r="AD73" s="948"/>
      <c r="AE73" s="948"/>
      <c r="AF73" s="948"/>
      <c r="AG73" s="948"/>
      <c r="AH73" s="948"/>
      <c r="AI73" s="948"/>
      <c r="AJ73" s="948"/>
      <c r="AK73" s="948"/>
      <c r="AL73" s="948"/>
      <c r="AM73" s="948"/>
      <c r="AN73" s="948"/>
      <c r="AO73" s="948"/>
      <c r="AP73" s="948"/>
      <c r="AQ73" s="948"/>
      <c r="AR73" s="948"/>
      <c r="AS73" s="948"/>
      <c r="AT73" s="948"/>
      <c r="AU73" s="948"/>
      <c r="AV73" s="948"/>
      <c r="AW73" s="948"/>
      <c r="AX73" s="948"/>
      <c r="AY73" s="948"/>
      <c r="AZ73" s="948"/>
      <c r="BA73" s="948"/>
      <c r="BB73" s="948"/>
      <c r="BC73" s="948"/>
      <c r="BD73" s="948"/>
      <c r="BE73" s="948"/>
      <c r="BF73" s="948"/>
      <c r="BG73" s="948"/>
      <c r="BH73" s="948"/>
      <c r="BI73" s="948"/>
      <c r="BJ73" s="948"/>
      <c r="BK73" s="948"/>
      <c r="BL73" s="948"/>
      <c r="BM73" s="948"/>
      <c r="BN73" s="948"/>
      <c r="BO73" s="948"/>
      <c r="BP73" s="948"/>
      <c r="BQ73" s="948"/>
      <c r="BR73" s="948"/>
      <c r="BS73" s="948"/>
      <c r="BT73" s="948"/>
      <c r="BU73" s="948"/>
      <c r="BV73" s="948"/>
      <c r="BW73" s="948"/>
      <c r="BX73" s="948"/>
      <c r="BY73" s="948"/>
      <c r="BZ73" s="948"/>
      <c r="CA73" s="948"/>
      <c r="CB73" s="948"/>
      <c r="CC73" s="948"/>
      <c r="CD73" s="948"/>
      <c r="CE73" s="948"/>
      <c r="CF73" s="948"/>
      <c r="CG73" s="948"/>
      <c r="CH73" s="948"/>
      <c r="CI73" s="948"/>
      <c r="CJ73" s="948"/>
      <c r="CK73" s="948"/>
      <c r="CL73" s="948"/>
      <c r="CM73" s="948"/>
      <c r="CN73" s="948"/>
      <c r="CO73" s="948"/>
      <c r="CP73" s="948"/>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row>
    <row r="74" spans="1:226" ht="14.1" customHeight="1">
      <c r="A74" s="12"/>
      <c r="B74" s="12"/>
      <c r="C74" s="12"/>
      <c r="D74" s="12"/>
      <c r="E74" s="38"/>
      <c r="F74" s="38"/>
      <c r="G74" s="12"/>
      <c r="H74" s="12"/>
      <c r="I74" s="12"/>
      <c r="J74" s="12"/>
      <c r="K74" s="12"/>
      <c r="L74" s="12"/>
      <c r="M74" s="948"/>
      <c r="N74" s="948"/>
      <c r="O74" s="948"/>
      <c r="P74" s="948"/>
      <c r="Q74" s="948"/>
      <c r="R74" s="948"/>
      <c r="S74" s="948"/>
      <c r="T74" s="948"/>
      <c r="U74" s="948"/>
      <c r="V74" s="948"/>
      <c r="W74" s="948"/>
      <c r="X74" s="948"/>
      <c r="Y74" s="948"/>
      <c r="Z74" s="948"/>
      <c r="AA74" s="948"/>
      <c r="AB74" s="948"/>
      <c r="AC74" s="948"/>
      <c r="AD74" s="948"/>
      <c r="AE74" s="948"/>
      <c r="AF74" s="948"/>
      <c r="AG74" s="948"/>
      <c r="AH74" s="948"/>
      <c r="AI74" s="948"/>
      <c r="AJ74" s="948"/>
      <c r="AK74" s="948"/>
      <c r="AL74" s="948"/>
      <c r="AM74" s="948"/>
      <c r="AN74" s="948"/>
      <c r="AO74" s="948"/>
      <c r="AP74" s="948"/>
      <c r="AQ74" s="948"/>
      <c r="AR74" s="948"/>
      <c r="AS74" s="948"/>
      <c r="AT74" s="948"/>
      <c r="AU74" s="948"/>
      <c r="AV74" s="948"/>
      <c r="AW74" s="948"/>
      <c r="AX74" s="948"/>
      <c r="AY74" s="948"/>
      <c r="AZ74" s="948"/>
      <c r="BA74" s="948"/>
      <c r="BB74" s="948"/>
      <c r="BC74" s="948"/>
      <c r="BD74" s="948"/>
      <c r="BE74" s="948"/>
      <c r="BF74" s="948"/>
      <c r="BG74" s="948"/>
      <c r="BH74" s="948"/>
      <c r="BI74" s="948"/>
      <c r="BJ74" s="948"/>
      <c r="BK74" s="948"/>
      <c r="BL74" s="948"/>
      <c r="BM74" s="948"/>
      <c r="BN74" s="948"/>
      <c r="BO74" s="948"/>
      <c r="BP74" s="948"/>
      <c r="BQ74" s="948"/>
      <c r="BR74" s="948"/>
      <c r="BS74" s="948"/>
      <c r="BT74" s="948"/>
      <c r="BU74" s="948"/>
      <c r="BV74" s="948"/>
      <c r="BW74" s="948"/>
      <c r="BX74" s="948"/>
      <c r="BY74" s="948"/>
      <c r="BZ74" s="948"/>
      <c r="CA74" s="948"/>
      <c r="CB74" s="948"/>
      <c r="CC74" s="948"/>
      <c r="CD74" s="948"/>
      <c r="CE74" s="948"/>
      <c r="CF74" s="948"/>
      <c r="CG74" s="948"/>
      <c r="CH74" s="948"/>
      <c r="CI74" s="948"/>
      <c r="CJ74" s="948"/>
      <c r="CK74" s="948"/>
      <c r="CL74" s="948"/>
      <c r="CM74" s="948"/>
      <c r="CN74" s="948"/>
      <c r="CO74" s="948"/>
      <c r="CP74" s="948"/>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row>
    <row r="75" spans="1:226" ht="14.1" customHeight="1">
      <c r="A75" s="12"/>
      <c r="B75" s="12"/>
      <c r="C75" s="12"/>
      <c r="D75" s="12"/>
      <c r="E75" s="38"/>
      <c r="F75" s="38"/>
      <c r="G75" s="12"/>
      <c r="H75" s="12"/>
      <c r="I75" s="12"/>
      <c r="J75" s="12"/>
      <c r="K75" s="12"/>
      <c r="L75" s="12"/>
      <c r="M75" s="948"/>
      <c r="N75" s="948"/>
      <c r="O75" s="948"/>
      <c r="P75" s="948"/>
      <c r="Q75" s="948"/>
      <c r="R75" s="948"/>
      <c r="S75" s="948"/>
      <c r="T75" s="948"/>
      <c r="U75" s="948"/>
      <c r="V75" s="948"/>
      <c r="W75" s="948"/>
      <c r="X75" s="948"/>
      <c r="Y75" s="948"/>
      <c r="Z75" s="948"/>
      <c r="AA75" s="948"/>
      <c r="AB75" s="948"/>
      <c r="AC75" s="948"/>
      <c r="AD75" s="948"/>
      <c r="AE75" s="948"/>
      <c r="AF75" s="948"/>
      <c r="AG75" s="948"/>
      <c r="AH75" s="948"/>
      <c r="AI75" s="948"/>
      <c r="AJ75" s="948"/>
      <c r="AK75" s="948"/>
      <c r="AL75" s="948"/>
      <c r="AM75" s="948"/>
      <c r="AN75" s="948"/>
      <c r="AO75" s="948"/>
      <c r="AP75" s="948"/>
      <c r="AQ75" s="948"/>
      <c r="AR75" s="948"/>
      <c r="AS75" s="948"/>
      <c r="AT75" s="948"/>
      <c r="AU75" s="948"/>
      <c r="AV75" s="948"/>
      <c r="AW75" s="948"/>
      <c r="AX75" s="948"/>
      <c r="AY75" s="948"/>
      <c r="AZ75" s="948"/>
      <c r="BA75" s="948"/>
      <c r="BB75" s="948"/>
      <c r="BC75" s="948"/>
      <c r="BD75" s="948"/>
      <c r="BE75" s="948"/>
      <c r="BF75" s="948"/>
      <c r="BG75" s="948"/>
      <c r="BH75" s="948"/>
      <c r="BI75" s="948"/>
      <c r="BJ75" s="948"/>
      <c r="BK75" s="948"/>
      <c r="BL75" s="948"/>
      <c r="BM75" s="948"/>
      <c r="BN75" s="948"/>
      <c r="BO75" s="948"/>
      <c r="BP75" s="948"/>
      <c r="BQ75" s="948"/>
      <c r="BR75" s="948"/>
      <c r="BS75" s="948"/>
      <c r="BT75" s="948"/>
      <c r="BU75" s="948"/>
      <c r="BV75" s="948"/>
      <c r="BW75" s="948"/>
      <c r="BX75" s="948"/>
      <c r="BY75" s="948"/>
      <c r="BZ75" s="948"/>
      <c r="CA75" s="948"/>
      <c r="CB75" s="948"/>
      <c r="CC75" s="948"/>
      <c r="CD75" s="948"/>
      <c r="CE75" s="948"/>
      <c r="CF75" s="948"/>
      <c r="CG75" s="948"/>
      <c r="CH75" s="948"/>
      <c r="CI75" s="948"/>
      <c r="CJ75" s="948"/>
      <c r="CK75" s="948"/>
      <c r="CL75" s="948"/>
      <c r="CM75" s="948"/>
      <c r="CN75" s="948"/>
      <c r="CO75" s="948"/>
      <c r="CP75" s="948"/>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row>
    <row r="76" spans="1:226" ht="14.1" customHeight="1">
      <c r="A76" s="12"/>
      <c r="B76" s="12"/>
      <c r="C76" s="12"/>
      <c r="D76" s="12"/>
      <c r="E76" s="38"/>
      <c r="F76" s="38"/>
      <c r="G76" s="12"/>
      <c r="H76" s="12"/>
      <c r="I76" s="12"/>
      <c r="J76" s="12"/>
      <c r="K76" s="12"/>
      <c r="L76" s="12"/>
      <c r="M76" s="948"/>
      <c r="N76" s="948"/>
      <c r="O76" s="948"/>
      <c r="P76" s="948"/>
      <c r="Q76" s="948"/>
      <c r="R76" s="948"/>
      <c r="S76" s="948"/>
      <c r="T76" s="948"/>
      <c r="U76" s="948"/>
      <c r="V76" s="948"/>
      <c r="W76" s="948"/>
      <c r="X76" s="948"/>
      <c r="Y76" s="948"/>
      <c r="Z76" s="948"/>
      <c r="AA76" s="948"/>
      <c r="AB76" s="948"/>
      <c r="AC76" s="948"/>
      <c r="AD76" s="948"/>
      <c r="AE76" s="948"/>
      <c r="AF76" s="948"/>
      <c r="AG76" s="948"/>
      <c r="AH76" s="948"/>
      <c r="AI76" s="948"/>
      <c r="AJ76" s="948"/>
      <c r="AK76" s="948"/>
      <c r="AL76" s="948"/>
      <c r="AM76" s="948"/>
      <c r="AN76" s="948"/>
      <c r="AO76" s="948"/>
      <c r="AP76" s="948"/>
      <c r="AQ76" s="948"/>
      <c r="AR76" s="948"/>
      <c r="AS76" s="948"/>
      <c r="AT76" s="948"/>
      <c r="AU76" s="948"/>
      <c r="AV76" s="948"/>
      <c r="AW76" s="948"/>
      <c r="AX76" s="948"/>
      <c r="AY76" s="948"/>
      <c r="AZ76" s="948"/>
      <c r="BA76" s="948"/>
      <c r="BB76" s="948"/>
      <c r="BC76" s="948"/>
      <c r="BD76" s="948"/>
      <c r="BE76" s="948"/>
      <c r="BF76" s="948"/>
      <c r="BG76" s="948"/>
      <c r="BH76" s="948"/>
      <c r="BI76" s="948"/>
      <c r="BJ76" s="948"/>
      <c r="BK76" s="948"/>
      <c r="BL76" s="948"/>
      <c r="BM76" s="948"/>
      <c r="BN76" s="948"/>
      <c r="BO76" s="948"/>
      <c r="BP76" s="948"/>
      <c r="BQ76" s="948"/>
      <c r="BR76" s="948"/>
      <c r="BS76" s="948"/>
      <c r="BT76" s="948"/>
      <c r="BU76" s="948"/>
      <c r="BV76" s="948"/>
      <c r="BW76" s="948"/>
      <c r="BX76" s="948"/>
      <c r="BY76" s="948"/>
      <c r="BZ76" s="948"/>
      <c r="CA76" s="948"/>
      <c r="CB76" s="948"/>
      <c r="CC76" s="948"/>
      <c r="CD76" s="948"/>
      <c r="CE76" s="948"/>
      <c r="CF76" s="948"/>
      <c r="CG76" s="948"/>
      <c r="CH76" s="948"/>
      <c r="CI76" s="948"/>
      <c r="CJ76" s="948"/>
      <c r="CK76" s="948"/>
      <c r="CL76" s="948"/>
      <c r="CM76" s="948"/>
      <c r="CN76" s="948"/>
      <c r="CO76" s="948"/>
      <c r="CP76" s="948"/>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row>
    <row r="77" spans="1:226" ht="14.1" customHeight="1">
      <c r="A77" s="12"/>
      <c r="B77" s="12"/>
      <c r="C77" s="12"/>
      <c r="D77" s="12"/>
      <c r="E77" s="38"/>
      <c r="F77" s="38"/>
      <c r="G77" s="12"/>
      <c r="H77" s="12"/>
      <c r="I77" s="12"/>
      <c r="J77" s="12"/>
      <c r="K77" s="12"/>
      <c r="L77" s="12"/>
      <c r="M77" s="948"/>
      <c r="N77" s="948"/>
      <c r="O77" s="948"/>
      <c r="P77" s="948"/>
      <c r="Q77" s="948"/>
      <c r="R77" s="948"/>
      <c r="S77" s="948"/>
      <c r="T77" s="948"/>
      <c r="U77" s="948"/>
      <c r="V77" s="948"/>
      <c r="W77" s="948"/>
      <c r="X77" s="948"/>
      <c r="Y77" s="948"/>
      <c r="Z77" s="948"/>
      <c r="AA77" s="948"/>
      <c r="AB77" s="948"/>
      <c r="AC77" s="948"/>
      <c r="AD77" s="948"/>
      <c r="AE77" s="948"/>
      <c r="AF77" s="948"/>
      <c r="AG77" s="948"/>
      <c r="AH77" s="948"/>
      <c r="AI77" s="948"/>
      <c r="AJ77" s="948"/>
      <c r="AK77" s="948"/>
      <c r="AL77" s="948"/>
      <c r="AM77" s="948"/>
      <c r="AN77" s="948"/>
      <c r="AO77" s="948"/>
      <c r="AP77" s="948"/>
      <c r="AQ77" s="948"/>
      <c r="AR77" s="948"/>
      <c r="AS77" s="948"/>
      <c r="AT77" s="948"/>
      <c r="AU77" s="948"/>
      <c r="AV77" s="948"/>
      <c r="AW77" s="948"/>
      <c r="AX77" s="948"/>
      <c r="AY77" s="948"/>
      <c r="AZ77" s="948"/>
      <c r="BA77" s="948"/>
      <c r="BB77" s="948"/>
      <c r="BC77" s="948"/>
      <c r="BD77" s="948"/>
      <c r="BE77" s="948"/>
      <c r="BF77" s="948"/>
      <c r="BG77" s="948"/>
      <c r="BH77" s="948"/>
      <c r="BI77" s="948"/>
      <c r="BJ77" s="948"/>
      <c r="BK77" s="948"/>
      <c r="BL77" s="948"/>
      <c r="BM77" s="948"/>
      <c r="BN77" s="948"/>
      <c r="BO77" s="948"/>
      <c r="BP77" s="948"/>
      <c r="BQ77" s="948"/>
      <c r="BR77" s="948"/>
      <c r="BS77" s="948"/>
      <c r="BT77" s="948"/>
      <c r="BU77" s="948"/>
      <c r="BV77" s="948"/>
      <c r="BW77" s="948"/>
      <c r="BX77" s="948"/>
      <c r="BY77" s="948"/>
      <c r="BZ77" s="948"/>
      <c r="CA77" s="948"/>
      <c r="CB77" s="948"/>
      <c r="CC77" s="948"/>
      <c r="CD77" s="948"/>
      <c r="CE77" s="948"/>
      <c r="CF77" s="948"/>
      <c r="CG77" s="948"/>
      <c r="CH77" s="948"/>
      <c r="CI77" s="948"/>
      <c r="CJ77" s="948"/>
      <c r="CK77" s="948"/>
      <c r="CL77" s="948"/>
      <c r="CM77" s="948"/>
      <c r="CN77" s="948"/>
      <c r="CO77" s="948"/>
      <c r="CP77" s="948"/>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row>
    <row r="78" spans="1:226" ht="14.1" customHeight="1">
      <c r="A78" s="12"/>
      <c r="B78" s="12"/>
      <c r="C78" s="12"/>
      <c r="D78" s="12"/>
      <c r="E78" s="38"/>
      <c r="F78" s="38"/>
      <c r="G78" s="12"/>
      <c r="H78" s="12"/>
      <c r="I78" s="12"/>
      <c r="J78" s="12"/>
      <c r="K78" s="12"/>
      <c r="L78" s="12"/>
      <c r="M78" s="948"/>
      <c r="N78" s="948"/>
      <c r="O78" s="948"/>
      <c r="P78" s="948"/>
      <c r="Q78" s="948"/>
      <c r="R78" s="948"/>
      <c r="S78" s="948"/>
      <c r="T78" s="948"/>
      <c r="U78" s="948"/>
      <c r="V78" s="948"/>
      <c r="W78" s="948"/>
      <c r="X78" s="948"/>
      <c r="Y78" s="948"/>
      <c r="Z78" s="948"/>
      <c r="AA78" s="948"/>
      <c r="AB78" s="948"/>
      <c r="AC78" s="948"/>
      <c r="AD78" s="948"/>
      <c r="AE78" s="948"/>
      <c r="AF78" s="948"/>
      <c r="AG78" s="948"/>
      <c r="AH78" s="948"/>
      <c r="AI78" s="948"/>
      <c r="AJ78" s="948"/>
      <c r="AK78" s="948"/>
      <c r="AL78" s="948"/>
      <c r="AM78" s="948"/>
      <c r="AN78" s="948"/>
      <c r="AO78" s="948"/>
      <c r="AP78" s="948"/>
      <c r="AQ78" s="948"/>
      <c r="AR78" s="948"/>
      <c r="AS78" s="948"/>
      <c r="AT78" s="948"/>
      <c r="AU78" s="948"/>
      <c r="AV78" s="948"/>
      <c r="AW78" s="948"/>
      <c r="AX78" s="948"/>
      <c r="AY78" s="948"/>
      <c r="AZ78" s="948"/>
      <c r="BA78" s="948"/>
      <c r="BB78" s="948"/>
      <c r="BC78" s="948"/>
      <c r="BD78" s="948"/>
      <c r="BE78" s="948"/>
      <c r="BF78" s="948"/>
      <c r="BG78" s="948"/>
      <c r="BH78" s="948"/>
      <c r="BI78" s="948"/>
      <c r="BJ78" s="948"/>
      <c r="BK78" s="948"/>
      <c r="BL78" s="948"/>
      <c r="BM78" s="948"/>
      <c r="BN78" s="948"/>
      <c r="BO78" s="948"/>
      <c r="BP78" s="948"/>
      <c r="BQ78" s="948"/>
      <c r="BR78" s="948"/>
      <c r="BS78" s="948"/>
      <c r="BT78" s="948"/>
      <c r="BU78" s="948"/>
      <c r="BV78" s="948"/>
      <c r="BW78" s="948"/>
      <c r="BX78" s="948"/>
      <c r="BY78" s="948"/>
      <c r="BZ78" s="948"/>
      <c r="CA78" s="948"/>
      <c r="CB78" s="948"/>
      <c r="CC78" s="948"/>
      <c r="CD78" s="948"/>
      <c r="CE78" s="948"/>
      <c r="CF78" s="948"/>
      <c r="CG78" s="948"/>
      <c r="CH78" s="948"/>
      <c r="CI78" s="948"/>
      <c r="CJ78" s="948"/>
      <c r="CK78" s="948"/>
      <c r="CL78" s="948"/>
      <c r="CM78" s="948"/>
      <c r="CN78" s="948"/>
      <c r="CO78" s="948"/>
      <c r="CP78" s="948"/>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row>
    <row r="79" spans="1:226" ht="14.1" customHeight="1">
      <c r="A79" s="12"/>
      <c r="B79" s="12"/>
      <c r="C79" s="12"/>
      <c r="D79" s="12"/>
      <c r="E79" s="38"/>
      <c r="F79" s="38"/>
      <c r="G79" s="12"/>
      <c r="H79" s="12"/>
      <c r="I79" s="12"/>
      <c r="J79" s="12"/>
      <c r="K79" s="12"/>
      <c r="L79" s="12"/>
      <c r="M79" s="948"/>
      <c r="N79" s="948"/>
      <c r="O79" s="948"/>
      <c r="P79" s="948"/>
      <c r="Q79" s="948"/>
      <c r="R79" s="948"/>
      <c r="S79" s="948"/>
      <c r="T79" s="948"/>
      <c r="U79" s="948"/>
      <c r="V79" s="948"/>
      <c r="W79" s="948"/>
      <c r="X79" s="948"/>
      <c r="Y79" s="948"/>
      <c r="Z79" s="948"/>
      <c r="AA79" s="948"/>
      <c r="AB79" s="948"/>
      <c r="AC79" s="948"/>
      <c r="AD79" s="948"/>
      <c r="AE79" s="948"/>
      <c r="AF79" s="948"/>
      <c r="AG79" s="948"/>
      <c r="AH79" s="948"/>
      <c r="AI79" s="948"/>
      <c r="AJ79" s="948"/>
      <c r="AK79" s="948"/>
      <c r="AL79" s="948"/>
      <c r="AM79" s="948"/>
      <c r="AN79" s="948"/>
      <c r="AO79" s="948"/>
      <c r="AP79" s="948"/>
      <c r="AQ79" s="948"/>
      <c r="AR79" s="948"/>
      <c r="AS79" s="948"/>
      <c r="AT79" s="948"/>
      <c r="AU79" s="948"/>
      <c r="AV79" s="948"/>
      <c r="AW79" s="948"/>
      <c r="AX79" s="948"/>
      <c r="AY79" s="948"/>
      <c r="AZ79" s="948"/>
      <c r="BA79" s="948"/>
      <c r="BB79" s="948"/>
      <c r="BC79" s="948"/>
      <c r="BD79" s="948"/>
      <c r="BE79" s="948"/>
      <c r="BF79" s="948"/>
      <c r="BG79" s="948"/>
      <c r="BH79" s="948"/>
      <c r="BI79" s="948"/>
      <c r="BJ79" s="948"/>
      <c r="BK79" s="948"/>
      <c r="BL79" s="948"/>
      <c r="BM79" s="948"/>
      <c r="BN79" s="948"/>
      <c r="BO79" s="948"/>
      <c r="BP79" s="948"/>
      <c r="BQ79" s="948"/>
      <c r="BR79" s="948"/>
      <c r="BS79" s="948"/>
      <c r="BT79" s="948"/>
      <c r="BU79" s="948"/>
      <c r="BV79" s="948"/>
      <c r="BW79" s="948"/>
      <c r="BX79" s="948"/>
      <c r="BY79" s="948"/>
      <c r="BZ79" s="948"/>
      <c r="CA79" s="948"/>
      <c r="CB79" s="948"/>
      <c r="CC79" s="948"/>
      <c r="CD79" s="948"/>
      <c r="CE79" s="948"/>
      <c r="CF79" s="948"/>
      <c r="CG79" s="948"/>
      <c r="CH79" s="948"/>
      <c r="CI79" s="948"/>
      <c r="CJ79" s="948"/>
      <c r="CK79" s="948"/>
      <c r="CL79" s="948"/>
      <c r="CM79" s="948"/>
      <c r="CN79" s="948"/>
      <c r="CO79" s="948"/>
      <c r="CP79" s="948"/>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row>
    <row r="80" spans="1:226" ht="14.1" customHeight="1">
      <c r="A80" s="12"/>
      <c r="B80" s="12"/>
      <c r="C80" s="12"/>
      <c r="D80" s="12"/>
      <c r="E80" s="38"/>
      <c r="F80" s="38"/>
      <c r="G80" s="12"/>
      <c r="H80" s="12"/>
      <c r="I80" s="12"/>
      <c r="J80" s="12"/>
      <c r="K80" s="12"/>
      <c r="L80" s="12"/>
      <c r="M80" s="948"/>
      <c r="N80" s="948"/>
      <c r="O80" s="948"/>
      <c r="P80" s="948"/>
      <c r="Q80" s="948"/>
      <c r="R80" s="948"/>
      <c r="S80" s="948"/>
      <c r="T80" s="948"/>
      <c r="U80" s="948"/>
      <c r="V80" s="948"/>
      <c r="W80" s="948"/>
      <c r="X80" s="948"/>
      <c r="Y80" s="948"/>
      <c r="Z80" s="948"/>
      <c r="AA80" s="948"/>
      <c r="AB80" s="948"/>
      <c r="AC80" s="948"/>
      <c r="AD80" s="948"/>
      <c r="AE80" s="948"/>
      <c r="AF80" s="948"/>
      <c r="AG80" s="948"/>
      <c r="AH80" s="948"/>
      <c r="AI80" s="948"/>
      <c r="AJ80" s="948"/>
      <c r="AK80" s="948"/>
      <c r="AL80" s="948"/>
      <c r="AM80" s="948"/>
      <c r="AN80" s="948"/>
      <c r="AO80" s="948"/>
      <c r="AP80" s="948"/>
      <c r="AQ80" s="948"/>
      <c r="AR80" s="948"/>
      <c r="AS80" s="948"/>
      <c r="AT80" s="948"/>
      <c r="AU80" s="948"/>
      <c r="AV80" s="948"/>
      <c r="AW80" s="948"/>
      <c r="AX80" s="948"/>
      <c r="AY80" s="948"/>
      <c r="AZ80" s="948"/>
      <c r="BA80" s="948"/>
      <c r="BB80" s="948"/>
      <c r="BC80" s="948"/>
      <c r="BD80" s="948"/>
      <c r="BE80" s="948"/>
      <c r="BF80" s="948"/>
      <c r="BG80" s="948"/>
      <c r="BH80" s="948"/>
      <c r="BI80" s="948"/>
      <c r="BJ80" s="948"/>
      <c r="BK80" s="948"/>
      <c r="BL80" s="948"/>
      <c r="BM80" s="948"/>
      <c r="BN80" s="948"/>
      <c r="BO80" s="948"/>
      <c r="BP80" s="948"/>
      <c r="BQ80" s="948"/>
      <c r="BR80" s="948"/>
      <c r="BS80" s="948"/>
      <c r="BT80" s="948"/>
      <c r="BU80" s="948"/>
      <c r="BV80" s="948"/>
      <c r="BW80" s="948"/>
      <c r="BX80" s="948"/>
      <c r="BY80" s="948"/>
      <c r="BZ80" s="948"/>
      <c r="CA80" s="948"/>
      <c r="CB80" s="948"/>
      <c r="CC80" s="948"/>
      <c r="CD80" s="948"/>
      <c r="CE80" s="948"/>
      <c r="CF80" s="948"/>
      <c r="CG80" s="948"/>
      <c r="CH80" s="948"/>
      <c r="CI80" s="948"/>
      <c r="CJ80" s="948"/>
      <c r="CK80" s="948"/>
      <c r="CL80" s="948"/>
      <c r="CM80" s="948"/>
      <c r="CN80" s="948"/>
      <c r="CO80" s="948"/>
      <c r="CP80" s="948"/>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row>
    <row r="81" spans="1:226" ht="14.1" customHeight="1">
      <c r="A81" s="12"/>
      <c r="B81" s="12"/>
      <c r="C81" s="12"/>
      <c r="D81" s="12"/>
      <c r="E81" s="38"/>
      <c r="F81" s="38"/>
      <c r="G81" s="12"/>
      <c r="H81" s="12"/>
      <c r="I81" s="12"/>
      <c r="J81" s="12"/>
      <c r="K81" s="12"/>
      <c r="L81" s="12"/>
      <c r="M81" s="948"/>
      <c r="N81" s="948"/>
      <c r="O81" s="948"/>
      <c r="P81" s="948"/>
      <c r="Q81" s="948"/>
      <c r="R81" s="948"/>
      <c r="S81" s="948"/>
      <c r="T81" s="948"/>
      <c r="U81" s="948"/>
      <c r="V81" s="948"/>
      <c r="W81" s="948"/>
      <c r="X81" s="948"/>
      <c r="Y81" s="948"/>
      <c r="Z81" s="948"/>
      <c r="AA81" s="948"/>
      <c r="AB81" s="948"/>
      <c r="AC81" s="948"/>
      <c r="AD81" s="948"/>
      <c r="AE81" s="948"/>
      <c r="AF81" s="948"/>
      <c r="AG81" s="948"/>
      <c r="AH81" s="948"/>
      <c r="AI81" s="948"/>
      <c r="AJ81" s="948"/>
      <c r="AK81" s="948"/>
      <c r="AL81" s="948"/>
      <c r="AM81" s="948"/>
      <c r="AN81" s="948"/>
      <c r="AO81" s="948"/>
      <c r="AP81" s="948"/>
      <c r="AQ81" s="948"/>
      <c r="AR81" s="948"/>
      <c r="AS81" s="948"/>
      <c r="AT81" s="948"/>
      <c r="AU81" s="948"/>
      <c r="AV81" s="948"/>
      <c r="AW81" s="948"/>
      <c r="AX81" s="948"/>
      <c r="AY81" s="948"/>
      <c r="AZ81" s="948"/>
      <c r="BA81" s="948"/>
      <c r="BB81" s="948"/>
      <c r="BC81" s="948"/>
      <c r="BD81" s="948"/>
      <c r="BE81" s="948"/>
      <c r="BF81" s="948"/>
      <c r="BG81" s="948"/>
      <c r="BH81" s="948"/>
      <c r="BI81" s="948"/>
      <c r="BJ81" s="948"/>
      <c r="BK81" s="948"/>
      <c r="BL81" s="948"/>
      <c r="BM81" s="948"/>
      <c r="BN81" s="948"/>
      <c r="BO81" s="948"/>
      <c r="BP81" s="948"/>
      <c r="BQ81" s="948"/>
      <c r="BR81" s="948"/>
      <c r="BS81" s="948"/>
      <c r="BT81" s="948"/>
      <c r="BU81" s="948"/>
      <c r="BV81" s="948"/>
      <c r="BW81" s="948"/>
      <c r="BX81" s="948"/>
      <c r="BY81" s="948"/>
      <c r="BZ81" s="948"/>
      <c r="CA81" s="948"/>
      <c r="CB81" s="948"/>
      <c r="CC81" s="948"/>
      <c r="CD81" s="948"/>
      <c r="CE81" s="948"/>
      <c r="CF81" s="948"/>
      <c r="CG81" s="948"/>
      <c r="CH81" s="948"/>
      <c r="CI81" s="948"/>
      <c r="CJ81" s="948"/>
      <c r="CK81" s="948"/>
      <c r="CL81" s="948"/>
      <c r="CM81" s="948"/>
      <c r="CN81" s="948"/>
      <c r="CO81" s="948"/>
      <c r="CP81" s="948"/>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row>
    <row r="82" spans="1:226" ht="14.1" customHeight="1">
      <c r="A82" s="12"/>
      <c r="B82" s="12"/>
      <c r="C82" s="12"/>
      <c r="D82" s="12"/>
      <c r="E82" s="38"/>
      <c r="F82" s="38"/>
      <c r="G82" s="12"/>
      <c r="H82" s="12"/>
      <c r="I82" s="12"/>
      <c r="J82" s="12"/>
      <c r="K82" s="12"/>
      <c r="L82" s="12"/>
      <c r="M82" s="948"/>
      <c r="N82" s="948"/>
      <c r="O82" s="948"/>
      <c r="P82" s="948"/>
      <c r="Q82" s="948"/>
      <c r="R82" s="948"/>
      <c r="S82" s="948"/>
      <c r="T82" s="948"/>
      <c r="U82" s="948"/>
      <c r="V82" s="948"/>
      <c r="W82" s="948"/>
      <c r="X82" s="948"/>
      <c r="Y82" s="948"/>
      <c r="Z82" s="948"/>
      <c r="AA82" s="948"/>
      <c r="AB82" s="948"/>
      <c r="AC82" s="948"/>
      <c r="AD82" s="948"/>
      <c r="AE82" s="948"/>
      <c r="AF82" s="948"/>
      <c r="AG82" s="948"/>
      <c r="AH82" s="948"/>
      <c r="AI82" s="948"/>
      <c r="AJ82" s="948"/>
      <c r="AK82" s="948"/>
      <c r="AL82" s="948"/>
      <c r="AM82" s="948"/>
      <c r="AN82" s="948"/>
      <c r="AO82" s="948"/>
      <c r="AP82" s="948"/>
      <c r="AQ82" s="948"/>
      <c r="AR82" s="948"/>
      <c r="AS82" s="948"/>
      <c r="AT82" s="948"/>
      <c r="AU82" s="948"/>
      <c r="AV82" s="948"/>
      <c r="AW82" s="948"/>
      <c r="AX82" s="948"/>
      <c r="AY82" s="948"/>
      <c r="AZ82" s="948"/>
      <c r="BA82" s="948"/>
      <c r="BB82" s="948"/>
      <c r="BC82" s="948"/>
      <c r="BD82" s="948"/>
      <c r="BE82" s="948"/>
      <c r="BF82" s="948"/>
      <c r="BG82" s="948"/>
      <c r="BH82" s="948"/>
      <c r="BI82" s="948"/>
      <c r="BJ82" s="948"/>
      <c r="BK82" s="948"/>
      <c r="BL82" s="948"/>
      <c r="BM82" s="948"/>
      <c r="BN82" s="948"/>
      <c r="BO82" s="948"/>
      <c r="BP82" s="948"/>
      <c r="BQ82" s="948"/>
      <c r="BR82" s="948"/>
      <c r="BS82" s="948"/>
      <c r="BT82" s="948"/>
      <c r="BU82" s="948"/>
      <c r="BV82" s="948"/>
      <c r="BW82" s="948"/>
      <c r="BX82" s="948"/>
      <c r="BY82" s="948"/>
      <c r="BZ82" s="948"/>
      <c r="CA82" s="948"/>
      <c r="CB82" s="948"/>
      <c r="CC82" s="948"/>
      <c r="CD82" s="948"/>
      <c r="CE82" s="948"/>
      <c r="CF82" s="948"/>
      <c r="CG82" s="948"/>
      <c r="CH82" s="948"/>
      <c r="CI82" s="948"/>
      <c r="CJ82" s="948"/>
      <c r="CK82" s="948"/>
      <c r="CL82" s="948"/>
      <c r="CM82" s="948"/>
      <c r="CN82" s="948"/>
      <c r="CO82" s="948"/>
      <c r="CP82" s="948"/>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row>
    <row r="83" spans="1:226" ht="14.1" customHeight="1">
      <c r="A83" s="12"/>
      <c r="B83" s="12"/>
      <c r="C83" s="12"/>
      <c r="D83" s="12"/>
      <c r="E83" s="38"/>
      <c r="F83" s="38"/>
      <c r="G83" s="12"/>
      <c r="H83" s="12"/>
      <c r="I83" s="12"/>
      <c r="J83" s="12"/>
      <c r="K83" s="12"/>
      <c r="L83" s="12"/>
      <c r="M83" s="948"/>
      <c r="N83" s="948"/>
      <c r="O83" s="948"/>
      <c r="P83" s="948"/>
      <c r="Q83" s="948"/>
      <c r="R83" s="948"/>
      <c r="S83" s="948"/>
      <c r="T83" s="948"/>
      <c r="U83" s="948"/>
      <c r="V83" s="948"/>
      <c r="W83" s="948"/>
      <c r="X83" s="948"/>
      <c r="Y83" s="948"/>
      <c r="Z83" s="948"/>
      <c r="AA83" s="948"/>
      <c r="AB83" s="948"/>
      <c r="AC83" s="948"/>
      <c r="AD83" s="948"/>
      <c r="AE83" s="948"/>
      <c r="AF83" s="948"/>
      <c r="AG83" s="948"/>
      <c r="AH83" s="948"/>
      <c r="AI83" s="948"/>
      <c r="AJ83" s="948"/>
      <c r="AK83" s="948"/>
      <c r="AL83" s="948"/>
      <c r="AM83" s="948"/>
      <c r="AN83" s="948"/>
      <c r="AO83" s="948"/>
      <c r="AP83" s="948"/>
      <c r="AQ83" s="948"/>
      <c r="AR83" s="948"/>
      <c r="AS83" s="948"/>
      <c r="AT83" s="948"/>
      <c r="AU83" s="948"/>
      <c r="AV83" s="948"/>
      <c r="AW83" s="948"/>
      <c r="AX83" s="948"/>
      <c r="AY83" s="948"/>
      <c r="AZ83" s="948"/>
      <c r="BA83" s="948"/>
      <c r="BB83" s="948"/>
      <c r="BC83" s="948"/>
      <c r="BD83" s="948"/>
      <c r="BE83" s="948"/>
      <c r="BF83" s="948"/>
      <c r="BG83" s="948"/>
      <c r="BH83" s="948"/>
      <c r="BI83" s="948"/>
      <c r="BJ83" s="948"/>
      <c r="BK83" s="948"/>
      <c r="BL83" s="948"/>
      <c r="BM83" s="948"/>
      <c r="BN83" s="948"/>
      <c r="BO83" s="948"/>
      <c r="BP83" s="948"/>
      <c r="BQ83" s="948"/>
      <c r="BR83" s="948"/>
      <c r="BS83" s="948"/>
      <c r="BT83" s="948"/>
      <c r="BU83" s="948"/>
      <c r="BV83" s="948"/>
      <c r="BW83" s="948"/>
      <c r="BX83" s="948"/>
      <c r="BY83" s="948"/>
      <c r="BZ83" s="948"/>
      <c r="CA83" s="948"/>
      <c r="CB83" s="948"/>
      <c r="CC83" s="948"/>
      <c r="CD83" s="948"/>
      <c r="CE83" s="948"/>
      <c r="CF83" s="948"/>
      <c r="CG83" s="948"/>
      <c r="CH83" s="948"/>
      <c r="CI83" s="948"/>
      <c r="CJ83" s="948"/>
      <c r="CK83" s="948"/>
      <c r="CL83" s="948"/>
      <c r="CM83" s="948"/>
      <c r="CN83" s="948"/>
      <c r="CO83" s="948"/>
      <c r="CP83" s="948"/>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row>
    <row r="84" spans="1:226" ht="14.1" customHeight="1">
      <c r="A84" s="12"/>
      <c r="B84" s="12"/>
      <c r="C84" s="12"/>
      <c r="D84" s="12"/>
      <c r="E84" s="38"/>
      <c r="F84" s="38"/>
      <c r="G84" s="12"/>
      <c r="H84" s="12"/>
      <c r="I84" s="12"/>
      <c r="J84" s="12"/>
      <c r="K84" s="12"/>
      <c r="L84" s="12"/>
      <c r="M84" s="948"/>
      <c r="N84" s="948"/>
      <c r="O84" s="948"/>
      <c r="P84" s="948"/>
      <c r="Q84" s="948"/>
      <c r="R84" s="948"/>
      <c r="S84" s="948"/>
      <c r="T84" s="948"/>
      <c r="U84" s="948"/>
      <c r="V84" s="948"/>
      <c r="W84" s="948"/>
      <c r="X84" s="948"/>
      <c r="Y84" s="948"/>
      <c r="Z84" s="948"/>
      <c r="AA84" s="948"/>
      <c r="AB84" s="948"/>
      <c r="AC84" s="948"/>
      <c r="AD84" s="948"/>
      <c r="AE84" s="948"/>
      <c r="AF84" s="948"/>
      <c r="AG84" s="948"/>
      <c r="AH84" s="948"/>
      <c r="AI84" s="948"/>
      <c r="AJ84" s="948"/>
      <c r="AK84" s="948"/>
      <c r="AL84" s="948"/>
      <c r="AM84" s="948"/>
      <c r="AN84" s="948"/>
      <c r="AO84" s="948"/>
      <c r="AP84" s="948"/>
      <c r="AQ84" s="948"/>
      <c r="AR84" s="948"/>
      <c r="AS84" s="948"/>
      <c r="AT84" s="948"/>
      <c r="AU84" s="948"/>
      <c r="AV84" s="948"/>
      <c r="AW84" s="948"/>
      <c r="AX84" s="948"/>
      <c r="AY84" s="948"/>
      <c r="AZ84" s="948"/>
      <c r="BA84" s="948"/>
      <c r="BB84" s="948"/>
      <c r="BC84" s="948"/>
      <c r="BD84" s="948"/>
      <c r="BE84" s="948"/>
      <c r="BF84" s="948"/>
      <c r="BG84" s="948"/>
      <c r="BH84" s="948"/>
      <c r="BI84" s="948"/>
      <c r="BJ84" s="948"/>
      <c r="BK84" s="948"/>
      <c r="BL84" s="948"/>
      <c r="BM84" s="948"/>
      <c r="BN84" s="948"/>
      <c r="BO84" s="948"/>
      <c r="BP84" s="948"/>
      <c r="BQ84" s="948"/>
      <c r="BR84" s="948"/>
      <c r="BS84" s="948"/>
      <c r="BT84" s="948"/>
      <c r="BU84" s="948"/>
      <c r="BV84" s="948"/>
      <c r="BW84" s="948"/>
      <c r="BX84" s="948"/>
      <c r="BY84" s="948"/>
      <c r="BZ84" s="948"/>
      <c r="CA84" s="948"/>
      <c r="CB84" s="948"/>
      <c r="CC84" s="948"/>
      <c r="CD84" s="948"/>
      <c r="CE84" s="948"/>
      <c r="CF84" s="948"/>
      <c r="CG84" s="948"/>
      <c r="CH84" s="948"/>
      <c r="CI84" s="948"/>
      <c r="CJ84" s="948"/>
      <c r="CK84" s="948"/>
      <c r="CL84" s="948"/>
      <c r="CM84" s="948"/>
      <c r="CN84" s="948"/>
      <c r="CO84" s="948"/>
      <c r="CP84" s="948"/>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row>
    <row r="85" spans="1:226" ht="14.1" customHeight="1">
      <c r="A85" s="12"/>
      <c r="B85" s="12"/>
      <c r="C85" s="12"/>
      <c r="D85" s="12"/>
      <c r="E85" s="38"/>
      <c r="F85" s="38"/>
      <c r="G85" s="12"/>
      <c r="H85" s="12"/>
      <c r="I85" s="12"/>
      <c r="J85" s="12"/>
      <c r="K85" s="12"/>
      <c r="L85" s="12"/>
      <c r="M85" s="948"/>
      <c r="N85" s="948"/>
      <c r="O85" s="948"/>
      <c r="P85" s="948"/>
      <c r="Q85" s="948"/>
      <c r="R85" s="948"/>
      <c r="S85" s="948"/>
      <c r="T85" s="948"/>
      <c r="U85" s="948"/>
      <c r="V85" s="948"/>
      <c r="W85" s="948"/>
      <c r="X85" s="948"/>
      <c r="Y85" s="948"/>
      <c r="Z85" s="948"/>
      <c r="AA85" s="948"/>
      <c r="AB85" s="948"/>
      <c r="AC85" s="948"/>
      <c r="AD85" s="948"/>
      <c r="AE85" s="948"/>
      <c r="AF85" s="948"/>
      <c r="AG85" s="948"/>
      <c r="AH85" s="948"/>
      <c r="AI85" s="948"/>
      <c r="AJ85" s="948"/>
      <c r="AK85" s="948"/>
      <c r="AL85" s="948"/>
      <c r="AM85" s="948"/>
      <c r="AN85" s="948"/>
      <c r="AO85" s="948"/>
      <c r="AP85" s="948"/>
      <c r="AQ85" s="948"/>
      <c r="AR85" s="948"/>
      <c r="AS85" s="948"/>
      <c r="AT85" s="948"/>
      <c r="AU85" s="948"/>
      <c r="AV85" s="948"/>
      <c r="AW85" s="948"/>
      <c r="AX85" s="948"/>
      <c r="AY85" s="948"/>
      <c r="AZ85" s="948"/>
      <c r="BA85" s="948"/>
      <c r="BB85" s="948"/>
      <c r="BC85" s="948"/>
      <c r="BD85" s="948"/>
      <c r="BE85" s="948"/>
      <c r="BF85" s="948"/>
      <c r="BG85" s="948"/>
      <c r="BH85" s="948"/>
      <c r="BI85" s="948"/>
      <c r="BJ85" s="948"/>
      <c r="BK85" s="948"/>
      <c r="BL85" s="948"/>
      <c r="BM85" s="948"/>
      <c r="BN85" s="948"/>
      <c r="BO85" s="948"/>
      <c r="BP85" s="948"/>
      <c r="BQ85" s="948"/>
      <c r="BR85" s="948"/>
      <c r="BS85" s="948"/>
      <c r="BT85" s="948"/>
      <c r="BU85" s="948"/>
      <c r="BV85" s="948"/>
      <c r="BW85" s="948"/>
      <c r="BX85" s="948"/>
      <c r="BY85" s="948"/>
      <c r="BZ85" s="948"/>
      <c r="CA85" s="948"/>
      <c r="CB85" s="948"/>
      <c r="CC85" s="948"/>
      <c r="CD85" s="948"/>
      <c r="CE85" s="948"/>
      <c r="CF85" s="948"/>
      <c r="CG85" s="948"/>
      <c r="CH85" s="948"/>
      <c r="CI85" s="948"/>
      <c r="CJ85" s="948"/>
      <c r="CK85" s="948"/>
      <c r="CL85" s="948"/>
      <c r="CM85" s="948"/>
      <c r="CN85" s="948"/>
      <c r="CO85" s="948"/>
      <c r="CP85" s="948"/>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row>
    <row r="86" spans="1:226" ht="14.1" customHeight="1">
      <c r="A86" s="12"/>
      <c r="B86" s="12"/>
      <c r="C86" s="12"/>
      <c r="D86" s="12"/>
      <c r="E86" s="38"/>
      <c r="F86" s="38"/>
      <c r="G86" s="12"/>
      <c r="H86" s="12"/>
      <c r="I86" s="12"/>
      <c r="J86" s="12"/>
      <c r="K86" s="12"/>
      <c r="L86" s="12"/>
      <c r="M86" s="948"/>
      <c r="N86" s="948"/>
      <c r="O86" s="948"/>
      <c r="P86" s="948"/>
      <c r="Q86" s="948"/>
      <c r="R86" s="948"/>
      <c r="S86" s="948"/>
      <c r="T86" s="948"/>
      <c r="U86" s="948"/>
      <c r="V86" s="948"/>
      <c r="W86" s="948"/>
      <c r="X86" s="948"/>
      <c r="Y86" s="948"/>
      <c r="Z86" s="948"/>
      <c r="AA86" s="948"/>
      <c r="AB86" s="948"/>
      <c r="AC86" s="948"/>
      <c r="AD86" s="948"/>
      <c r="AE86" s="948"/>
      <c r="AF86" s="948"/>
      <c r="AG86" s="948"/>
      <c r="AH86" s="948"/>
      <c r="AI86" s="948"/>
      <c r="AJ86" s="948"/>
      <c r="AK86" s="948"/>
      <c r="AL86" s="948"/>
      <c r="AM86" s="948"/>
      <c r="AN86" s="948"/>
      <c r="AO86" s="948"/>
      <c r="AP86" s="948"/>
      <c r="AQ86" s="948"/>
      <c r="AR86" s="948"/>
      <c r="AS86" s="948"/>
      <c r="AT86" s="948"/>
      <c r="AU86" s="948"/>
      <c r="AV86" s="948"/>
      <c r="AW86" s="948"/>
      <c r="AX86" s="948"/>
      <c r="AY86" s="948"/>
      <c r="AZ86" s="948"/>
      <c r="BA86" s="948"/>
      <c r="BB86" s="948"/>
      <c r="BC86" s="948"/>
      <c r="BD86" s="948"/>
      <c r="BE86" s="948"/>
      <c r="BF86" s="948"/>
      <c r="BG86" s="948"/>
      <c r="BH86" s="948"/>
      <c r="BI86" s="948"/>
      <c r="BJ86" s="948"/>
      <c r="BK86" s="948"/>
      <c r="BL86" s="948"/>
      <c r="BM86" s="948"/>
      <c r="BN86" s="948"/>
      <c r="BO86" s="948"/>
      <c r="BP86" s="948"/>
      <c r="BQ86" s="948"/>
      <c r="BR86" s="948"/>
      <c r="BS86" s="948"/>
      <c r="BT86" s="948"/>
      <c r="BU86" s="948"/>
      <c r="BV86" s="948"/>
      <c r="BW86" s="948"/>
      <c r="BX86" s="948"/>
      <c r="BY86" s="948"/>
      <c r="BZ86" s="948"/>
      <c r="CA86" s="948"/>
      <c r="CB86" s="948"/>
      <c r="CC86" s="948"/>
      <c r="CD86" s="948"/>
      <c r="CE86" s="948"/>
      <c r="CF86" s="948"/>
      <c r="CG86" s="948"/>
      <c r="CH86" s="948"/>
      <c r="CI86" s="948"/>
      <c r="CJ86" s="948"/>
      <c r="CK86" s="948"/>
      <c r="CL86" s="948"/>
      <c r="CM86" s="948"/>
      <c r="CN86" s="948"/>
      <c r="CO86" s="948"/>
      <c r="CP86" s="948"/>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c r="HR86" s="12"/>
    </row>
    <row r="87" spans="1:226" ht="14.1" customHeight="1">
      <c r="A87" s="12"/>
      <c r="B87" s="12"/>
      <c r="C87" s="12"/>
      <c r="D87" s="12"/>
      <c r="E87" s="38"/>
      <c r="F87" s="38"/>
      <c r="G87" s="12"/>
      <c r="H87" s="12"/>
      <c r="I87" s="12"/>
      <c r="J87" s="12"/>
      <c r="K87" s="12"/>
      <c r="L87" s="12"/>
      <c r="M87" s="948"/>
      <c r="N87" s="948"/>
      <c r="O87" s="948"/>
      <c r="P87" s="948"/>
      <c r="Q87" s="948"/>
      <c r="R87" s="948"/>
      <c r="S87" s="948"/>
      <c r="T87" s="948"/>
      <c r="U87" s="948"/>
      <c r="V87" s="948"/>
      <c r="W87" s="948"/>
      <c r="X87" s="948"/>
      <c r="Y87" s="948"/>
      <c r="Z87" s="948"/>
      <c r="AA87" s="948"/>
      <c r="AB87" s="948"/>
      <c r="AC87" s="948"/>
      <c r="AD87" s="948"/>
      <c r="AE87" s="948"/>
      <c r="AF87" s="948"/>
      <c r="AG87" s="948"/>
      <c r="AH87" s="948"/>
      <c r="AI87" s="948"/>
      <c r="AJ87" s="948"/>
      <c r="AK87" s="948"/>
      <c r="AL87" s="948"/>
      <c r="AM87" s="948"/>
      <c r="AN87" s="948"/>
      <c r="AO87" s="948"/>
      <c r="AP87" s="948"/>
      <c r="AQ87" s="948"/>
      <c r="AR87" s="948"/>
      <c r="AS87" s="948"/>
      <c r="AT87" s="948"/>
      <c r="AU87" s="948"/>
      <c r="AV87" s="948"/>
      <c r="AW87" s="948"/>
      <c r="AX87" s="948"/>
      <c r="AY87" s="948"/>
      <c r="AZ87" s="948"/>
      <c r="BA87" s="948"/>
      <c r="BB87" s="948"/>
      <c r="BC87" s="948"/>
      <c r="BD87" s="948"/>
      <c r="BE87" s="948"/>
      <c r="BF87" s="948"/>
      <c r="BG87" s="948"/>
      <c r="BH87" s="948"/>
      <c r="BI87" s="948"/>
      <c r="BJ87" s="948"/>
      <c r="BK87" s="948"/>
      <c r="BL87" s="948"/>
      <c r="BM87" s="948"/>
      <c r="BN87" s="948"/>
      <c r="BO87" s="948"/>
      <c r="BP87" s="948"/>
      <c r="BQ87" s="948"/>
      <c r="BR87" s="948"/>
      <c r="BS87" s="948"/>
      <c r="BT87" s="948"/>
      <c r="BU87" s="948"/>
      <c r="BV87" s="948"/>
      <c r="BW87" s="948"/>
      <c r="BX87" s="948"/>
      <c r="BY87" s="948"/>
      <c r="BZ87" s="948"/>
      <c r="CA87" s="948"/>
      <c r="CB87" s="948"/>
      <c r="CC87" s="948"/>
      <c r="CD87" s="948"/>
      <c r="CE87" s="948"/>
      <c r="CF87" s="948"/>
      <c r="CG87" s="948"/>
      <c r="CH87" s="948"/>
      <c r="CI87" s="948"/>
      <c r="CJ87" s="948"/>
      <c r="CK87" s="948"/>
      <c r="CL87" s="948"/>
      <c r="CM87" s="948"/>
      <c r="CN87" s="948"/>
      <c r="CO87" s="948"/>
      <c r="CP87" s="948"/>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row>
    <row r="88" spans="1:226" ht="14.1" customHeight="1">
      <c r="A88" s="12"/>
      <c r="B88" s="12"/>
      <c r="C88" s="12"/>
      <c r="D88" s="12"/>
      <c r="E88" s="38"/>
      <c r="F88" s="38"/>
      <c r="G88" s="12"/>
      <c r="H88" s="12"/>
      <c r="I88" s="12"/>
      <c r="J88" s="12"/>
      <c r="K88" s="12"/>
      <c r="L88" s="12"/>
      <c r="M88" s="948"/>
      <c r="N88" s="948"/>
      <c r="O88" s="948"/>
      <c r="P88" s="948"/>
      <c r="Q88" s="948"/>
      <c r="R88" s="948"/>
      <c r="S88" s="948"/>
      <c r="T88" s="948"/>
      <c r="U88" s="948"/>
      <c r="V88" s="948"/>
      <c r="W88" s="948"/>
      <c r="X88" s="948"/>
      <c r="Y88" s="948"/>
      <c r="Z88" s="948"/>
      <c r="AA88" s="948"/>
      <c r="AB88" s="948"/>
      <c r="AC88" s="948"/>
      <c r="AD88" s="948"/>
      <c r="AE88" s="948"/>
      <c r="AF88" s="948"/>
      <c r="AG88" s="948"/>
      <c r="AH88" s="948"/>
      <c r="AI88" s="948"/>
      <c r="AJ88" s="948"/>
      <c r="AK88" s="948"/>
      <c r="AL88" s="948"/>
      <c r="AM88" s="948"/>
      <c r="AN88" s="948"/>
      <c r="AO88" s="948"/>
      <c r="AP88" s="948"/>
      <c r="AQ88" s="948"/>
      <c r="AR88" s="948"/>
      <c r="AS88" s="948"/>
      <c r="AT88" s="948"/>
      <c r="AU88" s="948"/>
      <c r="AV88" s="948"/>
      <c r="AW88" s="948"/>
      <c r="AX88" s="948"/>
      <c r="AY88" s="948"/>
      <c r="AZ88" s="948"/>
      <c r="BA88" s="948"/>
      <c r="BB88" s="948"/>
      <c r="BC88" s="948"/>
      <c r="BD88" s="948"/>
      <c r="BE88" s="948"/>
      <c r="BF88" s="948"/>
      <c r="BG88" s="948"/>
      <c r="BH88" s="948"/>
      <c r="BI88" s="948"/>
      <c r="BJ88" s="948"/>
      <c r="BK88" s="948"/>
      <c r="BL88" s="948"/>
      <c r="BM88" s="948"/>
      <c r="BN88" s="948"/>
      <c r="BO88" s="948"/>
      <c r="BP88" s="948"/>
      <c r="BQ88" s="948"/>
      <c r="BR88" s="948"/>
      <c r="BS88" s="948"/>
      <c r="BT88" s="948"/>
      <c r="BU88" s="948"/>
      <c r="BV88" s="948"/>
      <c r="BW88" s="948"/>
      <c r="BX88" s="948"/>
      <c r="BY88" s="948"/>
      <c r="BZ88" s="948"/>
      <c r="CA88" s="948"/>
      <c r="CB88" s="948"/>
      <c r="CC88" s="948"/>
      <c r="CD88" s="948"/>
      <c r="CE88" s="948"/>
      <c r="CF88" s="948"/>
      <c r="CG88" s="948"/>
      <c r="CH88" s="948"/>
      <c r="CI88" s="948"/>
      <c r="CJ88" s="948"/>
      <c r="CK88" s="948"/>
      <c r="CL88" s="948"/>
      <c r="CM88" s="948"/>
      <c r="CN88" s="948"/>
      <c r="CO88" s="948"/>
      <c r="CP88" s="948"/>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row>
    <row r="89" spans="1:226" ht="14.1" customHeight="1">
      <c r="A89" s="12"/>
      <c r="B89" s="12"/>
      <c r="C89" s="12"/>
      <c r="D89" s="12"/>
      <c r="E89" s="38"/>
      <c r="F89" s="38"/>
      <c r="G89" s="12"/>
      <c r="H89" s="12"/>
      <c r="I89" s="12"/>
      <c r="J89" s="12"/>
      <c r="K89" s="12"/>
      <c r="L89" s="12"/>
      <c r="M89" s="948"/>
      <c r="N89" s="948"/>
      <c r="O89" s="948"/>
      <c r="P89" s="948"/>
      <c r="Q89" s="948"/>
      <c r="R89" s="948"/>
      <c r="S89" s="948"/>
      <c r="T89" s="948"/>
      <c r="U89" s="948"/>
      <c r="V89" s="948"/>
      <c r="W89" s="948"/>
      <c r="X89" s="948"/>
      <c r="Y89" s="948"/>
      <c r="Z89" s="948"/>
      <c r="AA89" s="948"/>
      <c r="AB89" s="948"/>
      <c r="AC89" s="948"/>
      <c r="AD89" s="948"/>
      <c r="AE89" s="948"/>
      <c r="AF89" s="948"/>
      <c r="AG89" s="948"/>
      <c r="AH89" s="948"/>
      <c r="AI89" s="948"/>
      <c r="AJ89" s="948"/>
      <c r="AK89" s="948"/>
      <c r="AL89" s="948"/>
      <c r="AM89" s="948"/>
      <c r="AN89" s="948"/>
      <c r="AO89" s="948"/>
      <c r="AP89" s="948"/>
      <c r="AQ89" s="948"/>
      <c r="AR89" s="948"/>
      <c r="AS89" s="948"/>
      <c r="AT89" s="948"/>
      <c r="AU89" s="948"/>
      <c r="AV89" s="948"/>
      <c r="AW89" s="948"/>
      <c r="AX89" s="948"/>
      <c r="AY89" s="948"/>
      <c r="AZ89" s="948"/>
      <c r="BA89" s="948"/>
      <c r="BB89" s="948"/>
      <c r="BC89" s="948"/>
      <c r="BD89" s="948"/>
      <c r="BE89" s="948"/>
      <c r="BF89" s="948"/>
      <c r="BG89" s="948"/>
      <c r="BH89" s="948"/>
      <c r="BI89" s="948"/>
      <c r="BJ89" s="948"/>
      <c r="BK89" s="948"/>
      <c r="BL89" s="948"/>
      <c r="BM89" s="948"/>
      <c r="BN89" s="948"/>
      <c r="BO89" s="948"/>
      <c r="BP89" s="948"/>
      <c r="BQ89" s="948"/>
      <c r="BR89" s="948"/>
      <c r="BS89" s="948"/>
      <c r="BT89" s="948"/>
      <c r="BU89" s="948"/>
      <c r="BV89" s="948"/>
      <c r="BW89" s="948"/>
      <c r="BX89" s="948"/>
      <c r="BY89" s="948"/>
      <c r="BZ89" s="948"/>
      <c r="CA89" s="948"/>
      <c r="CB89" s="948"/>
      <c r="CC89" s="948"/>
      <c r="CD89" s="948"/>
      <c r="CE89" s="948"/>
      <c r="CF89" s="948"/>
      <c r="CG89" s="948"/>
      <c r="CH89" s="948"/>
      <c r="CI89" s="948"/>
      <c r="CJ89" s="948"/>
      <c r="CK89" s="948"/>
      <c r="CL89" s="948"/>
      <c r="CM89" s="948"/>
      <c r="CN89" s="948"/>
      <c r="CO89" s="948"/>
      <c r="CP89" s="948"/>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row>
    <row r="90" spans="1:226" ht="14.1" customHeight="1">
      <c r="A90" s="12"/>
      <c r="B90" s="12"/>
      <c r="C90" s="12"/>
      <c r="D90" s="12"/>
      <c r="E90" s="38"/>
      <c r="F90" s="38"/>
      <c r="G90" s="12"/>
      <c r="H90" s="12"/>
      <c r="I90" s="12"/>
      <c r="J90" s="12"/>
      <c r="K90" s="12"/>
      <c r="L90" s="12"/>
      <c r="M90" s="948"/>
      <c r="N90" s="948"/>
      <c r="O90" s="948"/>
      <c r="P90" s="948"/>
      <c r="Q90" s="948"/>
      <c r="R90" s="948"/>
      <c r="S90" s="948"/>
      <c r="T90" s="948"/>
      <c r="U90" s="948"/>
      <c r="V90" s="948"/>
      <c r="W90" s="948"/>
      <c r="X90" s="948"/>
      <c r="Y90" s="948"/>
      <c r="Z90" s="948"/>
      <c r="AA90" s="948"/>
      <c r="AB90" s="948"/>
      <c r="AC90" s="948"/>
      <c r="AD90" s="948"/>
      <c r="AE90" s="948"/>
      <c r="AF90" s="948"/>
      <c r="AG90" s="948"/>
      <c r="AH90" s="948"/>
      <c r="AI90" s="948"/>
      <c r="AJ90" s="948"/>
      <c r="AK90" s="948"/>
      <c r="AL90" s="948"/>
      <c r="AM90" s="948"/>
      <c r="AN90" s="948"/>
      <c r="AO90" s="948"/>
      <c r="AP90" s="948"/>
      <c r="AQ90" s="948"/>
      <c r="AR90" s="948"/>
      <c r="AS90" s="948"/>
      <c r="AT90" s="948"/>
      <c r="AU90" s="948"/>
      <c r="AV90" s="948"/>
      <c r="AW90" s="948"/>
      <c r="AX90" s="948"/>
      <c r="AY90" s="948"/>
      <c r="AZ90" s="948"/>
      <c r="BA90" s="948"/>
      <c r="BB90" s="948"/>
      <c r="BC90" s="948"/>
      <c r="BD90" s="948"/>
      <c r="BE90" s="948"/>
      <c r="BF90" s="948"/>
      <c r="BG90" s="948"/>
      <c r="BH90" s="948"/>
      <c r="BI90" s="948"/>
      <c r="BJ90" s="948"/>
      <c r="BK90" s="948"/>
      <c r="BL90" s="948"/>
      <c r="BM90" s="948"/>
      <c r="BN90" s="948"/>
      <c r="BO90" s="948"/>
      <c r="BP90" s="948"/>
      <c r="BQ90" s="948"/>
      <c r="BR90" s="948"/>
      <c r="BS90" s="948"/>
      <c r="BT90" s="948"/>
      <c r="BU90" s="948"/>
      <c r="BV90" s="948"/>
      <c r="BW90" s="948"/>
      <c r="BX90" s="948"/>
      <c r="BY90" s="948"/>
      <c r="BZ90" s="948"/>
      <c r="CA90" s="948"/>
      <c r="CB90" s="948"/>
      <c r="CC90" s="948"/>
      <c r="CD90" s="948"/>
      <c r="CE90" s="948"/>
      <c r="CF90" s="948"/>
      <c r="CG90" s="948"/>
      <c r="CH90" s="948"/>
      <c r="CI90" s="948"/>
      <c r="CJ90" s="948"/>
      <c r="CK90" s="948"/>
      <c r="CL90" s="948"/>
      <c r="CM90" s="948"/>
      <c r="CN90" s="948"/>
      <c r="CO90" s="948"/>
      <c r="CP90" s="948"/>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row>
    <row r="91" spans="1:226" ht="14.1" customHeight="1">
      <c r="A91" s="12"/>
      <c r="B91" s="12"/>
      <c r="C91" s="12"/>
      <c r="D91" s="12"/>
      <c r="E91" s="38"/>
      <c r="F91" s="38"/>
      <c r="G91" s="12"/>
      <c r="H91" s="12"/>
      <c r="I91" s="12"/>
      <c r="J91" s="12"/>
      <c r="K91" s="12"/>
      <c r="L91" s="12"/>
      <c r="M91" s="948"/>
      <c r="N91" s="948"/>
      <c r="O91" s="948"/>
      <c r="P91" s="948"/>
      <c r="Q91" s="948"/>
      <c r="R91" s="948"/>
      <c r="S91" s="948"/>
      <c r="T91" s="948"/>
      <c r="U91" s="948"/>
      <c r="V91" s="948"/>
      <c r="W91" s="948"/>
      <c r="X91" s="948"/>
      <c r="Y91" s="948"/>
      <c r="Z91" s="948"/>
      <c r="AA91" s="948"/>
      <c r="AB91" s="948"/>
      <c r="AC91" s="948"/>
      <c r="AD91" s="948"/>
      <c r="AE91" s="948"/>
      <c r="AF91" s="948"/>
      <c r="AG91" s="948"/>
      <c r="AH91" s="948"/>
      <c r="AI91" s="948"/>
      <c r="AJ91" s="948"/>
      <c r="AK91" s="948"/>
      <c r="AL91" s="948"/>
      <c r="AM91" s="948"/>
      <c r="AN91" s="948"/>
      <c r="AO91" s="948"/>
      <c r="AP91" s="948"/>
      <c r="AQ91" s="948"/>
      <c r="AR91" s="948"/>
      <c r="AS91" s="948"/>
      <c r="AT91" s="948"/>
      <c r="AU91" s="948"/>
      <c r="AV91" s="948"/>
      <c r="AW91" s="948"/>
      <c r="AX91" s="948"/>
      <c r="AY91" s="948"/>
      <c r="AZ91" s="948"/>
      <c r="BA91" s="948"/>
      <c r="BB91" s="948"/>
      <c r="BC91" s="948"/>
      <c r="BD91" s="948"/>
      <c r="BE91" s="948"/>
      <c r="BF91" s="948"/>
      <c r="BG91" s="948"/>
      <c r="BH91" s="948"/>
      <c r="BI91" s="948"/>
      <c r="BJ91" s="948"/>
      <c r="BK91" s="948"/>
      <c r="BL91" s="948"/>
      <c r="BM91" s="948"/>
      <c r="BN91" s="948"/>
      <c r="BO91" s="948"/>
      <c r="BP91" s="948"/>
      <c r="BQ91" s="948"/>
      <c r="BR91" s="948"/>
      <c r="BS91" s="948"/>
      <c r="BT91" s="948"/>
      <c r="BU91" s="948"/>
      <c r="BV91" s="948"/>
      <c r="BW91" s="948"/>
      <c r="BX91" s="948"/>
      <c r="BY91" s="948"/>
      <c r="BZ91" s="948"/>
      <c r="CA91" s="948"/>
      <c r="CB91" s="948"/>
      <c r="CC91" s="948"/>
      <c r="CD91" s="948"/>
      <c r="CE91" s="948"/>
      <c r="CF91" s="948"/>
      <c r="CG91" s="948"/>
      <c r="CH91" s="948"/>
      <c r="CI91" s="948"/>
      <c r="CJ91" s="948"/>
      <c r="CK91" s="948"/>
      <c r="CL91" s="948"/>
      <c r="CM91" s="948"/>
      <c r="CN91" s="948"/>
      <c r="CO91" s="948"/>
      <c r="CP91" s="948"/>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row>
    <row r="92" spans="1:226" ht="14.1" customHeight="1">
      <c r="A92" s="12"/>
      <c r="B92" s="12"/>
      <c r="C92" s="12"/>
      <c r="D92" s="12"/>
      <c r="E92" s="38"/>
      <c r="F92" s="38"/>
      <c r="G92" s="12"/>
      <c r="H92" s="12"/>
      <c r="I92" s="12"/>
      <c r="J92" s="12"/>
      <c r="K92" s="12"/>
      <c r="L92" s="12"/>
      <c r="M92" s="948"/>
      <c r="N92" s="948"/>
      <c r="O92" s="948"/>
      <c r="P92" s="948"/>
      <c r="Q92" s="948"/>
      <c r="R92" s="948"/>
      <c r="S92" s="948"/>
      <c r="T92" s="948"/>
      <c r="U92" s="948"/>
      <c r="V92" s="948"/>
      <c r="W92" s="948"/>
      <c r="X92" s="948"/>
      <c r="Y92" s="948"/>
      <c r="Z92" s="948"/>
      <c r="AA92" s="948"/>
      <c r="AB92" s="948"/>
      <c r="AC92" s="948"/>
      <c r="AD92" s="948"/>
      <c r="AE92" s="948"/>
      <c r="AF92" s="948"/>
      <c r="AG92" s="948"/>
      <c r="AH92" s="948"/>
      <c r="AI92" s="948"/>
      <c r="AJ92" s="948"/>
      <c r="AK92" s="948"/>
      <c r="AL92" s="948"/>
      <c r="AM92" s="948"/>
      <c r="AN92" s="948"/>
      <c r="AO92" s="948"/>
      <c r="AP92" s="948"/>
      <c r="AQ92" s="948"/>
      <c r="AR92" s="948"/>
      <c r="AS92" s="948"/>
      <c r="AT92" s="948"/>
      <c r="AU92" s="948"/>
      <c r="AV92" s="948"/>
      <c r="AW92" s="948"/>
      <c r="AX92" s="948"/>
      <c r="AY92" s="948"/>
      <c r="AZ92" s="948"/>
      <c r="BA92" s="948"/>
      <c r="BB92" s="948"/>
      <c r="BC92" s="948"/>
      <c r="BD92" s="948"/>
      <c r="BE92" s="948"/>
      <c r="BF92" s="948"/>
      <c r="BG92" s="948"/>
      <c r="BH92" s="948"/>
      <c r="BI92" s="948"/>
      <c r="BJ92" s="948"/>
      <c r="BK92" s="948"/>
      <c r="BL92" s="948"/>
      <c r="BM92" s="948"/>
      <c r="BN92" s="948"/>
      <c r="BO92" s="948"/>
      <c r="BP92" s="948"/>
      <c r="BQ92" s="948"/>
      <c r="BR92" s="948"/>
      <c r="BS92" s="948"/>
      <c r="BT92" s="948"/>
      <c r="BU92" s="948"/>
      <c r="BV92" s="948"/>
      <c r="BW92" s="948"/>
      <c r="BX92" s="948"/>
      <c r="BY92" s="948"/>
      <c r="BZ92" s="948"/>
      <c r="CA92" s="948"/>
      <c r="CB92" s="948"/>
      <c r="CC92" s="948"/>
      <c r="CD92" s="948"/>
      <c r="CE92" s="948"/>
      <c r="CF92" s="948"/>
      <c r="CG92" s="948"/>
      <c r="CH92" s="948"/>
      <c r="CI92" s="948"/>
      <c r="CJ92" s="948"/>
      <c r="CK92" s="948"/>
      <c r="CL92" s="948"/>
      <c r="CM92" s="948"/>
      <c r="CN92" s="948"/>
      <c r="CO92" s="948"/>
      <c r="CP92" s="948"/>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row>
    <row r="93" spans="1:226" ht="14.1" customHeight="1">
      <c r="A93" s="12"/>
      <c r="B93" s="12"/>
      <c r="C93" s="12"/>
      <c r="D93" s="12"/>
      <c r="E93" s="38"/>
      <c r="F93" s="38"/>
      <c r="G93" s="12"/>
      <c r="H93" s="12"/>
      <c r="I93" s="12"/>
      <c r="J93" s="12"/>
      <c r="K93" s="12"/>
      <c r="L93" s="12"/>
      <c r="M93" s="948"/>
      <c r="N93" s="948"/>
      <c r="O93" s="948"/>
      <c r="P93" s="948"/>
      <c r="Q93" s="948"/>
      <c r="R93" s="948"/>
      <c r="S93" s="948"/>
      <c r="T93" s="948"/>
      <c r="U93" s="948"/>
      <c r="V93" s="948"/>
      <c r="W93" s="948"/>
      <c r="X93" s="948"/>
      <c r="Y93" s="948"/>
      <c r="Z93" s="948"/>
      <c r="AA93" s="948"/>
      <c r="AB93" s="948"/>
      <c r="AC93" s="948"/>
      <c r="AD93" s="948"/>
      <c r="AE93" s="948"/>
      <c r="AF93" s="948"/>
      <c r="AG93" s="948"/>
      <c r="AH93" s="948"/>
      <c r="AI93" s="948"/>
      <c r="AJ93" s="948"/>
      <c r="AK93" s="948"/>
      <c r="AL93" s="948"/>
      <c r="AM93" s="948"/>
      <c r="AN93" s="948"/>
      <c r="AO93" s="948"/>
      <c r="AP93" s="948"/>
      <c r="AQ93" s="948"/>
      <c r="AR93" s="948"/>
      <c r="AS93" s="948"/>
      <c r="AT93" s="948"/>
      <c r="AU93" s="948"/>
      <c r="AV93" s="948"/>
      <c r="AW93" s="948"/>
      <c r="AX93" s="948"/>
      <c r="AY93" s="948"/>
      <c r="AZ93" s="948"/>
      <c r="BA93" s="948"/>
      <c r="BB93" s="948"/>
      <c r="BC93" s="948"/>
      <c r="BD93" s="948"/>
      <c r="BE93" s="948"/>
      <c r="BF93" s="948"/>
      <c r="BG93" s="948"/>
      <c r="BH93" s="948"/>
      <c r="BI93" s="948"/>
      <c r="BJ93" s="948"/>
      <c r="BK93" s="948"/>
      <c r="BL93" s="948"/>
      <c r="BM93" s="948"/>
      <c r="BN93" s="948"/>
      <c r="BO93" s="948"/>
      <c r="BP93" s="948"/>
      <c r="BQ93" s="948"/>
      <c r="BR93" s="948"/>
      <c r="BS93" s="948"/>
      <c r="BT93" s="948"/>
      <c r="BU93" s="948"/>
      <c r="BV93" s="948"/>
      <c r="BW93" s="948"/>
      <c r="BX93" s="948"/>
      <c r="BY93" s="948"/>
      <c r="BZ93" s="948"/>
      <c r="CA93" s="948"/>
      <c r="CB93" s="948"/>
      <c r="CC93" s="948"/>
      <c r="CD93" s="948"/>
      <c r="CE93" s="948"/>
      <c r="CF93" s="948"/>
      <c r="CG93" s="948"/>
      <c r="CH93" s="948"/>
      <c r="CI93" s="948"/>
      <c r="CJ93" s="948"/>
      <c r="CK93" s="948"/>
      <c r="CL93" s="948"/>
      <c r="CM93" s="948"/>
      <c r="CN93" s="948"/>
      <c r="CO93" s="948"/>
      <c r="CP93" s="948"/>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row>
    <row r="94" spans="1:226" ht="14.1" customHeight="1">
      <c r="A94" s="12"/>
      <c r="B94" s="12"/>
      <c r="C94" s="12"/>
      <c r="D94" s="12"/>
      <c r="E94" s="38"/>
      <c r="F94" s="38"/>
      <c r="G94" s="12"/>
      <c r="H94" s="12"/>
      <c r="I94" s="12"/>
      <c r="J94" s="12"/>
      <c r="K94" s="12"/>
      <c r="L94" s="12"/>
      <c r="M94" s="948"/>
      <c r="N94" s="948"/>
      <c r="O94" s="948"/>
      <c r="P94" s="948"/>
      <c r="Q94" s="948"/>
      <c r="R94" s="948"/>
      <c r="S94" s="948"/>
      <c r="T94" s="948"/>
      <c r="U94" s="948"/>
      <c r="V94" s="948"/>
      <c r="W94" s="948"/>
      <c r="X94" s="948"/>
      <c r="Y94" s="948"/>
      <c r="Z94" s="948"/>
      <c r="AA94" s="948"/>
      <c r="AB94" s="948"/>
      <c r="AC94" s="948"/>
      <c r="AD94" s="948"/>
      <c r="AE94" s="948"/>
      <c r="AF94" s="948"/>
      <c r="AG94" s="948"/>
      <c r="AH94" s="948"/>
      <c r="AI94" s="948"/>
      <c r="AJ94" s="948"/>
      <c r="AK94" s="948"/>
      <c r="AL94" s="948"/>
      <c r="AM94" s="948"/>
      <c r="AN94" s="948"/>
      <c r="AO94" s="948"/>
      <c r="AP94" s="948"/>
      <c r="AQ94" s="948"/>
      <c r="AR94" s="948"/>
      <c r="AS94" s="948"/>
      <c r="AT94" s="948"/>
      <c r="AU94" s="948"/>
      <c r="AV94" s="948"/>
      <c r="AW94" s="948"/>
      <c r="AX94" s="948"/>
      <c r="AY94" s="948"/>
      <c r="AZ94" s="948"/>
      <c r="BA94" s="948"/>
      <c r="BB94" s="948"/>
      <c r="BC94" s="948"/>
      <c r="BD94" s="948"/>
      <c r="BE94" s="948"/>
      <c r="BF94" s="948"/>
      <c r="BG94" s="948"/>
      <c r="BH94" s="948"/>
      <c r="BI94" s="948"/>
      <c r="BJ94" s="948"/>
      <c r="BK94" s="948"/>
      <c r="BL94" s="948"/>
      <c r="BM94" s="948"/>
      <c r="BN94" s="948"/>
      <c r="BO94" s="948"/>
      <c r="BP94" s="948"/>
      <c r="BQ94" s="948"/>
      <c r="BR94" s="948"/>
      <c r="BS94" s="948"/>
      <c r="BT94" s="948"/>
      <c r="BU94" s="948"/>
      <c r="BV94" s="948"/>
      <c r="BW94" s="948"/>
      <c r="BX94" s="948"/>
      <c r="BY94" s="948"/>
      <c r="BZ94" s="948"/>
      <c r="CA94" s="948"/>
      <c r="CB94" s="948"/>
      <c r="CC94" s="948"/>
      <c r="CD94" s="948"/>
      <c r="CE94" s="948"/>
      <c r="CF94" s="948"/>
      <c r="CG94" s="948"/>
      <c r="CH94" s="948"/>
      <c r="CI94" s="948"/>
      <c r="CJ94" s="948"/>
      <c r="CK94" s="948"/>
      <c r="CL94" s="948"/>
      <c r="CM94" s="948"/>
      <c r="CN94" s="948"/>
      <c r="CO94" s="948"/>
      <c r="CP94" s="948"/>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row>
    <row r="95" spans="1:226" ht="14.1" customHeight="1">
      <c r="A95" s="12"/>
      <c r="B95" s="12"/>
      <c r="C95" s="12"/>
      <c r="D95" s="12"/>
      <c r="E95" s="38"/>
      <c r="F95" s="38"/>
      <c r="G95" s="12"/>
      <c r="H95" s="12"/>
      <c r="I95" s="12"/>
      <c r="J95" s="12"/>
      <c r="K95" s="12"/>
      <c r="L95" s="12"/>
      <c r="M95" s="948"/>
      <c r="N95" s="948"/>
      <c r="O95" s="948"/>
      <c r="P95" s="948"/>
      <c r="Q95" s="948"/>
      <c r="R95" s="948"/>
      <c r="S95" s="948"/>
      <c r="T95" s="948"/>
      <c r="U95" s="948"/>
      <c r="V95" s="948"/>
      <c r="W95" s="948"/>
      <c r="X95" s="948"/>
      <c r="Y95" s="948"/>
      <c r="Z95" s="948"/>
      <c r="AA95" s="948"/>
      <c r="AB95" s="948"/>
      <c r="AC95" s="948"/>
      <c r="AD95" s="948"/>
      <c r="AE95" s="948"/>
      <c r="AF95" s="948"/>
      <c r="AG95" s="948"/>
      <c r="AH95" s="948"/>
      <c r="AI95" s="948"/>
      <c r="AJ95" s="948"/>
      <c r="AK95" s="948"/>
      <c r="AL95" s="948"/>
      <c r="AM95" s="948"/>
      <c r="AN95" s="948"/>
      <c r="AO95" s="948"/>
      <c r="AP95" s="948"/>
      <c r="AQ95" s="948"/>
      <c r="AR95" s="948"/>
      <c r="AS95" s="948"/>
      <c r="AT95" s="948"/>
      <c r="AU95" s="948"/>
      <c r="AV95" s="948"/>
      <c r="AW95" s="948"/>
      <c r="AX95" s="948"/>
      <c r="AY95" s="948"/>
      <c r="AZ95" s="948"/>
      <c r="BA95" s="948"/>
      <c r="BB95" s="948"/>
      <c r="BC95" s="948"/>
      <c r="BD95" s="948"/>
      <c r="BE95" s="948"/>
      <c r="BF95" s="948"/>
      <c r="BG95" s="948"/>
      <c r="BH95" s="948"/>
      <c r="BI95" s="948"/>
      <c r="BJ95" s="948"/>
      <c r="BK95" s="948"/>
      <c r="BL95" s="948"/>
      <c r="BM95" s="948"/>
      <c r="BN95" s="948"/>
      <c r="BO95" s="948"/>
      <c r="BP95" s="948"/>
      <c r="BQ95" s="948"/>
      <c r="BR95" s="948"/>
      <c r="BS95" s="948"/>
      <c r="BT95" s="948"/>
      <c r="BU95" s="948"/>
      <c r="BV95" s="948"/>
      <c r="BW95" s="948"/>
      <c r="BX95" s="948"/>
      <c r="BY95" s="948"/>
      <c r="BZ95" s="948"/>
      <c r="CA95" s="948"/>
      <c r="CB95" s="948"/>
      <c r="CC95" s="948"/>
      <c r="CD95" s="948"/>
      <c r="CE95" s="948"/>
      <c r="CF95" s="948"/>
      <c r="CG95" s="948"/>
      <c r="CH95" s="948"/>
      <c r="CI95" s="948"/>
      <c r="CJ95" s="948"/>
      <c r="CK95" s="948"/>
      <c r="CL95" s="948"/>
      <c r="CM95" s="948"/>
      <c r="CN95" s="948"/>
      <c r="CO95" s="948"/>
      <c r="CP95" s="948"/>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row>
    <row r="96" spans="1:226" ht="14.1" customHeight="1">
      <c r="A96" s="12"/>
      <c r="B96" s="12"/>
      <c r="C96" s="12"/>
      <c r="D96" s="12"/>
      <c r="E96" s="38"/>
      <c r="F96" s="38"/>
      <c r="G96" s="12"/>
      <c r="H96" s="12"/>
      <c r="I96" s="12"/>
      <c r="J96" s="12"/>
      <c r="K96" s="12"/>
      <c r="L96" s="12"/>
      <c r="M96" s="948"/>
      <c r="N96" s="948"/>
      <c r="O96" s="948"/>
      <c r="P96" s="948"/>
      <c r="Q96" s="948"/>
      <c r="R96" s="948"/>
      <c r="S96" s="948"/>
      <c r="T96" s="948"/>
      <c r="U96" s="948"/>
      <c r="V96" s="948"/>
      <c r="W96" s="948"/>
      <c r="X96" s="948"/>
      <c r="Y96" s="948"/>
      <c r="Z96" s="948"/>
      <c r="AA96" s="948"/>
      <c r="AB96" s="948"/>
      <c r="AC96" s="948"/>
      <c r="AD96" s="948"/>
      <c r="AE96" s="948"/>
      <c r="AF96" s="948"/>
      <c r="AG96" s="948"/>
      <c r="AH96" s="948"/>
      <c r="AI96" s="948"/>
      <c r="AJ96" s="948"/>
      <c r="AK96" s="948"/>
      <c r="AL96" s="948"/>
      <c r="AM96" s="948"/>
      <c r="AN96" s="948"/>
      <c r="AO96" s="948"/>
      <c r="AP96" s="948"/>
      <c r="AQ96" s="948"/>
      <c r="AR96" s="948"/>
      <c r="AS96" s="948"/>
      <c r="AT96" s="948"/>
      <c r="AU96" s="948"/>
      <c r="AV96" s="948"/>
      <c r="AW96" s="948"/>
      <c r="AX96" s="948"/>
      <c r="AY96" s="948"/>
      <c r="AZ96" s="948"/>
      <c r="BA96" s="948"/>
      <c r="BB96" s="948"/>
      <c r="BC96" s="948"/>
      <c r="BD96" s="948"/>
      <c r="BE96" s="948"/>
      <c r="BF96" s="948"/>
      <c r="BG96" s="948"/>
      <c r="BH96" s="948"/>
      <c r="BI96" s="948"/>
      <c r="BJ96" s="948"/>
      <c r="BK96" s="948"/>
      <c r="BL96" s="948"/>
      <c r="BM96" s="948"/>
      <c r="BN96" s="948"/>
      <c r="BO96" s="948"/>
      <c r="BP96" s="948"/>
      <c r="BQ96" s="948"/>
      <c r="BR96" s="948"/>
      <c r="BS96" s="948"/>
      <c r="BT96" s="948"/>
      <c r="BU96" s="948"/>
      <c r="BV96" s="948"/>
      <c r="BW96" s="948"/>
      <c r="BX96" s="948"/>
      <c r="BY96" s="948"/>
      <c r="BZ96" s="948"/>
      <c r="CA96" s="948"/>
      <c r="CB96" s="948"/>
      <c r="CC96" s="948"/>
      <c r="CD96" s="948"/>
      <c r="CE96" s="948"/>
      <c r="CF96" s="948"/>
      <c r="CG96" s="948"/>
      <c r="CH96" s="948"/>
      <c r="CI96" s="948"/>
      <c r="CJ96" s="948"/>
      <c r="CK96" s="948"/>
      <c r="CL96" s="948"/>
      <c r="CM96" s="948"/>
      <c r="CN96" s="948"/>
      <c r="CO96" s="948"/>
      <c r="CP96" s="948"/>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row>
    <row r="97" spans="1:226" ht="14.1" customHeight="1">
      <c r="A97" s="12"/>
      <c r="B97" s="12"/>
      <c r="C97" s="12"/>
      <c r="D97" s="12"/>
      <c r="E97" s="38"/>
      <c r="F97" s="38"/>
      <c r="G97" s="12"/>
      <c r="H97" s="12"/>
      <c r="I97" s="12"/>
      <c r="J97" s="12"/>
      <c r="K97" s="12"/>
      <c r="L97" s="12"/>
      <c r="M97" s="948"/>
      <c r="N97" s="948"/>
      <c r="O97" s="948"/>
      <c r="P97" s="948"/>
      <c r="Q97" s="948"/>
      <c r="R97" s="948"/>
      <c r="S97" s="948"/>
      <c r="T97" s="948"/>
      <c r="U97" s="948"/>
      <c r="V97" s="948"/>
      <c r="W97" s="948"/>
      <c r="X97" s="948"/>
      <c r="Y97" s="948"/>
      <c r="Z97" s="948"/>
      <c r="AA97" s="948"/>
      <c r="AB97" s="948"/>
      <c r="AC97" s="948"/>
      <c r="AD97" s="948"/>
      <c r="AE97" s="948"/>
      <c r="AF97" s="948"/>
      <c r="AG97" s="948"/>
      <c r="AH97" s="948"/>
      <c r="AI97" s="948"/>
      <c r="AJ97" s="948"/>
      <c r="AK97" s="948"/>
      <c r="AL97" s="948"/>
      <c r="AM97" s="948"/>
      <c r="AN97" s="948"/>
      <c r="AO97" s="948"/>
      <c r="AP97" s="948"/>
      <c r="AQ97" s="948"/>
      <c r="AR97" s="948"/>
      <c r="AS97" s="948"/>
      <c r="AT97" s="948"/>
      <c r="AU97" s="948"/>
      <c r="AV97" s="948"/>
      <c r="AW97" s="948"/>
      <c r="AX97" s="948"/>
      <c r="AY97" s="948"/>
      <c r="AZ97" s="948"/>
      <c r="BA97" s="948"/>
      <c r="BB97" s="948"/>
      <c r="BC97" s="948"/>
      <c r="BD97" s="948"/>
      <c r="BE97" s="948"/>
      <c r="BF97" s="948"/>
      <c r="BG97" s="948"/>
      <c r="BH97" s="948"/>
      <c r="BI97" s="948"/>
      <c r="BJ97" s="948"/>
      <c r="BK97" s="948"/>
      <c r="BL97" s="948"/>
      <c r="BM97" s="948"/>
      <c r="BN97" s="948"/>
      <c r="BO97" s="948"/>
      <c r="BP97" s="948"/>
      <c r="BQ97" s="948"/>
      <c r="BR97" s="948"/>
      <c r="BS97" s="948"/>
      <c r="BT97" s="948"/>
      <c r="BU97" s="948"/>
      <c r="BV97" s="948"/>
      <c r="BW97" s="948"/>
      <c r="BX97" s="948"/>
      <c r="BY97" s="948"/>
      <c r="BZ97" s="948"/>
      <c r="CA97" s="948"/>
      <c r="CB97" s="948"/>
      <c r="CC97" s="948"/>
      <c r="CD97" s="948"/>
      <c r="CE97" s="948"/>
      <c r="CF97" s="948"/>
      <c r="CG97" s="948"/>
      <c r="CH97" s="948"/>
      <c r="CI97" s="948"/>
      <c r="CJ97" s="948"/>
      <c r="CK97" s="948"/>
      <c r="CL97" s="948"/>
      <c r="CM97" s="948"/>
      <c r="CN97" s="948"/>
      <c r="CO97" s="948"/>
      <c r="CP97" s="948"/>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row>
    <row r="98" spans="1:226" ht="14.1" customHeight="1">
      <c r="A98" s="12"/>
      <c r="B98" s="12"/>
      <c r="C98" s="12"/>
      <c r="D98" s="12"/>
      <c r="E98" s="38"/>
      <c r="F98" s="38"/>
      <c r="G98" s="12"/>
      <c r="H98" s="12"/>
      <c r="I98" s="12"/>
      <c r="J98" s="12"/>
      <c r="K98" s="12"/>
      <c r="L98" s="12"/>
      <c r="M98" s="948"/>
      <c r="N98" s="948"/>
      <c r="O98" s="948"/>
      <c r="P98" s="948"/>
      <c r="Q98" s="948"/>
      <c r="R98" s="948"/>
      <c r="S98" s="948"/>
      <c r="T98" s="948"/>
      <c r="U98" s="948"/>
      <c r="V98" s="948"/>
      <c r="W98" s="948"/>
      <c r="X98" s="948"/>
      <c r="Y98" s="948"/>
      <c r="Z98" s="948"/>
      <c r="AA98" s="948"/>
      <c r="AB98" s="948"/>
      <c r="AC98" s="948"/>
      <c r="AD98" s="948"/>
      <c r="AE98" s="948"/>
      <c r="AF98" s="948"/>
      <c r="AG98" s="948"/>
      <c r="AH98" s="948"/>
      <c r="AI98" s="948"/>
      <c r="AJ98" s="948"/>
      <c r="AK98" s="948"/>
      <c r="AL98" s="948"/>
      <c r="AM98" s="948"/>
      <c r="AN98" s="948"/>
      <c r="AO98" s="948"/>
      <c r="AP98" s="948"/>
      <c r="AQ98" s="948"/>
      <c r="AR98" s="948"/>
      <c r="AS98" s="948"/>
      <c r="AT98" s="948"/>
      <c r="AU98" s="948"/>
      <c r="AV98" s="948"/>
      <c r="AW98" s="948"/>
      <c r="AX98" s="948"/>
      <c r="AY98" s="948"/>
      <c r="AZ98" s="948"/>
      <c r="BA98" s="948"/>
      <c r="BB98" s="948"/>
      <c r="BC98" s="948"/>
      <c r="BD98" s="948"/>
      <c r="BE98" s="948"/>
      <c r="BF98" s="948"/>
      <c r="BG98" s="948"/>
      <c r="BH98" s="948"/>
      <c r="BI98" s="948"/>
      <c r="BJ98" s="948"/>
      <c r="BK98" s="948"/>
      <c r="BL98" s="948"/>
      <c r="BM98" s="948"/>
      <c r="BN98" s="948"/>
      <c r="BO98" s="948"/>
      <c r="BP98" s="948"/>
      <c r="BQ98" s="948"/>
      <c r="BR98" s="948"/>
      <c r="BS98" s="948"/>
      <c r="BT98" s="948"/>
      <c r="BU98" s="948"/>
      <c r="BV98" s="948"/>
      <c r="BW98" s="948"/>
      <c r="BX98" s="948"/>
      <c r="BY98" s="948"/>
      <c r="BZ98" s="948"/>
      <c r="CA98" s="948"/>
      <c r="CB98" s="948"/>
      <c r="CC98" s="948"/>
      <c r="CD98" s="948"/>
      <c r="CE98" s="948"/>
      <c r="CF98" s="948"/>
      <c r="CG98" s="948"/>
      <c r="CH98" s="948"/>
      <c r="CI98" s="948"/>
      <c r="CJ98" s="948"/>
      <c r="CK98" s="948"/>
      <c r="CL98" s="948"/>
      <c r="CM98" s="948"/>
      <c r="CN98" s="948"/>
      <c r="CO98" s="948"/>
      <c r="CP98" s="948"/>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row>
    <row r="99" spans="1:226" ht="14.1" customHeight="1">
      <c r="A99" s="12"/>
      <c r="B99" s="12"/>
      <c r="C99" s="12"/>
      <c r="D99" s="12"/>
      <c r="E99" s="38"/>
      <c r="F99" s="38"/>
      <c r="G99" s="12"/>
      <c r="H99" s="12"/>
      <c r="I99" s="12"/>
      <c r="J99" s="12"/>
      <c r="K99" s="12"/>
      <c r="L99" s="12"/>
      <c r="M99" s="948"/>
      <c r="N99" s="948"/>
      <c r="O99" s="948"/>
      <c r="P99" s="948"/>
      <c r="Q99" s="948"/>
      <c r="R99" s="948"/>
      <c r="S99" s="948"/>
      <c r="T99" s="948"/>
      <c r="U99" s="948"/>
      <c r="V99" s="948"/>
      <c r="W99" s="948"/>
      <c r="X99" s="948"/>
      <c r="Y99" s="948"/>
      <c r="Z99" s="948"/>
      <c r="AA99" s="948"/>
      <c r="AB99" s="948"/>
      <c r="AC99" s="948"/>
      <c r="AD99" s="948"/>
      <c r="AE99" s="948"/>
      <c r="AF99" s="948"/>
      <c r="AG99" s="948"/>
      <c r="AH99" s="948"/>
      <c r="AI99" s="948"/>
      <c r="AJ99" s="948"/>
      <c r="AK99" s="948"/>
      <c r="AL99" s="948"/>
      <c r="AM99" s="948"/>
      <c r="AN99" s="948"/>
      <c r="AO99" s="948"/>
      <c r="AP99" s="948"/>
      <c r="AQ99" s="948"/>
      <c r="AR99" s="948"/>
      <c r="AS99" s="948"/>
      <c r="AT99" s="948"/>
      <c r="AU99" s="948"/>
      <c r="AV99" s="948"/>
      <c r="AW99" s="948"/>
      <c r="AX99" s="948"/>
      <c r="AY99" s="948"/>
      <c r="AZ99" s="948"/>
      <c r="BA99" s="948"/>
      <c r="BB99" s="948"/>
      <c r="BC99" s="948"/>
      <c r="BD99" s="948"/>
      <c r="BE99" s="948"/>
      <c r="BF99" s="948"/>
      <c r="BG99" s="948"/>
      <c r="BH99" s="948"/>
      <c r="BI99" s="948"/>
      <c r="BJ99" s="948"/>
      <c r="BK99" s="948"/>
      <c r="BL99" s="948"/>
      <c r="BM99" s="948"/>
      <c r="BN99" s="948"/>
      <c r="BO99" s="948"/>
      <c r="BP99" s="948"/>
      <c r="BQ99" s="948"/>
      <c r="BR99" s="948"/>
      <c r="BS99" s="948"/>
      <c r="BT99" s="948"/>
      <c r="BU99" s="948"/>
      <c r="BV99" s="948"/>
      <c r="BW99" s="948"/>
      <c r="BX99" s="948"/>
      <c r="BY99" s="948"/>
      <c r="BZ99" s="948"/>
      <c r="CA99" s="948"/>
      <c r="CB99" s="948"/>
      <c r="CC99" s="948"/>
      <c r="CD99" s="948"/>
      <c r="CE99" s="948"/>
      <c r="CF99" s="948"/>
      <c r="CG99" s="948"/>
      <c r="CH99" s="948"/>
      <c r="CI99" s="948"/>
      <c r="CJ99" s="948"/>
      <c r="CK99" s="948"/>
      <c r="CL99" s="948"/>
      <c r="CM99" s="948"/>
      <c r="CN99" s="948"/>
      <c r="CO99" s="948"/>
      <c r="CP99" s="948"/>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row>
    <row r="100" spans="1:226" ht="14.1" customHeight="1">
      <c r="A100" s="12"/>
      <c r="B100" s="12"/>
      <c r="C100" s="12"/>
      <c r="D100" s="12"/>
      <c r="E100" s="38"/>
      <c r="F100" s="38"/>
      <c r="G100" s="12"/>
      <c r="H100" s="12"/>
      <c r="I100" s="12"/>
      <c r="J100" s="12"/>
      <c r="K100" s="12"/>
      <c r="L100" s="12"/>
      <c r="M100" s="948"/>
      <c r="N100" s="948"/>
      <c r="O100" s="948"/>
      <c r="P100" s="948"/>
      <c r="Q100" s="948"/>
      <c r="R100" s="948"/>
      <c r="S100" s="948"/>
      <c r="T100" s="948"/>
      <c r="U100" s="948"/>
      <c r="V100" s="948"/>
      <c r="W100" s="948"/>
      <c r="X100" s="948"/>
      <c r="Y100" s="948"/>
      <c r="Z100" s="948"/>
      <c r="AA100" s="948"/>
      <c r="AB100" s="948"/>
      <c r="AC100" s="948"/>
      <c r="AD100" s="948"/>
      <c r="AE100" s="948"/>
      <c r="AF100" s="948"/>
      <c r="AG100" s="948"/>
      <c r="AH100" s="948"/>
      <c r="AI100" s="948"/>
      <c r="AJ100" s="948"/>
      <c r="AK100" s="948"/>
      <c r="AL100" s="948"/>
      <c r="AM100" s="948"/>
      <c r="AN100" s="948"/>
      <c r="AO100" s="948"/>
      <c r="AP100" s="948"/>
      <c r="AQ100" s="948"/>
      <c r="AR100" s="948"/>
      <c r="AS100" s="948"/>
      <c r="AT100" s="948"/>
      <c r="AU100" s="948"/>
      <c r="AV100" s="948"/>
      <c r="AW100" s="948"/>
      <c r="AX100" s="948"/>
      <c r="AY100" s="948"/>
      <c r="AZ100" s="948"/>
      <c r="BA100" s="948"/>
      <c r="BB100" s="948"/>
      <c r="BC100" s="948"/>
      <c r="BD100" s="948"/>
      <c r="BE100" s="948"/>
      <c r="BF100" s="948"/>
      <c r="BG100" s="948"/>
      <c r="BH100" s="948"/>
      <c r="BI100" s="948"/>
      <c r="BJ100" s="948"/>
      <c r="BK100" s="948"/>
      <c r="BL100" s="948"/>
      <c r="BM100" s="948"/>
      <c r="BN100" s="948"/>
      <c r="BO100" s="948"/>
      <c r="BP100" s="948"/>
      <c r="BQ100" s="948"/>
      <c r="BR100" s="948"/>
      <c r="BS100" s="948"/>
      <c r="BT100" s="948"/>
      <c r="BU100" s="948"/>
      <c r="BV100" s="948"/>
      <c r="BW100" s="948"/>
      <c r="BX100" s="948"/>
      <c r="BY100" s="948"/>
      <c r="BZ100" s="948"/>
      <c r="CA100" s="948"/>
      <c r="CB100" s="948"/>
      <c r="CC100" s="948"/>
      <c r="CD100" s="948"/>
      <c r="CE100" s="948"/>
      <c r="CF100" s="948"/>
      <c r="CG100" s="948"/>
      <c r="CH100" s="948"/>
      <c r="CI100" s="948"/>
      <c r="CJ100" s="948"/>
      <c r="CK100" s="948"/>
      <c r="CL100" s="948"/>
      <c r="CM100" s="948"/>
      <c r="CN100" s="948"/>
      <c r="CO100" s="948"/>
      <c r="CP100" s="948"/>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row>
    <row r="101" spans="1:226" ht="14.1" customHeight="1">
      <c r="A101" s="12"/>
      <c r="B101" s="12"/>
      <c r="C101" s="12"/>
      <c r="D101" s="12"/>
      <c r="E101" s="38"/>
      <c r="F101" s="38"/>
      <c r="G101" s="12"/>
      <c r="H101" s="12"/>
      <c r="I101" s="12"/>
      <c r="J101" s="12"/>
      <c r="K101" s="12"/>
      <c r="L101" s="12"/>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c r="AJ101" s="948"/>
      <c r="AK101" s="948"/>
      <c r="AL101" s="948"/>
      <c r="AM101" s="948"/>
      <c r="AN101" s="948"/>
      <c r="AO101" s="948"/>
      <c r="AP101" s="948"/>
      <c r="AQ101" s="948"/>
      <c r="AR101" s="948"/>
      <c r="AS101" s="948"/>
      <c r="AT101" s="948"/>
      <c r="AU101" s="948"/>
      <c r="AV101" s="948"/>
      <c r="AW101" s="948"/>
      <c r="AX101" s="948"/>
      <c r="AY101" s="948"/>
      <c r="AZ101" s="948"/>
      <c r="BA101" s="948"/>
      <c r="BB101" s="948"/>
      <c r="BC101" s="948"/>
      <c r="BD101" s="948"/>
      <c r="BE101" s="948"/>
      <c r="BF101" s="948"/>
      <c r="BG101" s="948"/>
      <c r="BH101" s="948"/>
      <c r="BI101" s="948"/>
      <c r="BJ101" s="948"/>
      <c r="BK101" s="948"/>
      <c r="BL101" s="948"/>
      <c r="BM101" s="948"/>
      <c r="BN101" s="948"/>
      <c r="BO101" s="948"/>
      <c r="BP101" s="948"/>
      <c r="BQ101" s="948"/>
      <c r="BR101" s="948"/>
      <c r="BS101" s="948"/>
      <c r="BT101" s="948"/>
      <c r="BU101" s="948"/>
      <c r="BV101" s="948"/>
      <c r="BW101" s="948"/>
      <c r="BX101" s="948"/>
      <c r="BY101" s="948"/>
      <c r="BZ101" s="948"/>
      <c r="CA101" s="948"/>
      <c r="CB101" s="948"/>
      <c r="CC101" s="948"/>
      <c r="CD101" s="948"/>
      <c r="CE101" s="948"/>
      <c r="CF101" s="948"/>
      <c r="CG101" s="948"/>
      <c r="CH101" s="948"/>
      <c r="CI101" s="948"/>
      <c r="CJ101" s="948"/>
      <c r="CK101" s="948"/>
      <c r="CL101" s="948"/>
      <c r="CM101" s="948"/>
      <c r="CN101" s="948"/>
      <c r="CO101" s="948"/>
      <c r="CP101" s="948"/>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row>
    <row r="102" spans="1:226" ht="14.1" customHeight="1">
      <c r="A102" s="12"/>
      <c r="B102" s="12"/>
      <c r="C102" s="12"/>
      <c r="D102" s="12"/>
      <c r="E102" s="38"/>
      <c r="F102" s="38"/>
      <c r="G102" s="12"/>
      <c r="H102" s="12"/>
      <c r="I102" s="12"/>
      <c r="J102" s="12"/>
      <c r="K102" s="12"/>
      <c r="L102" s="12"/>
      <c r="M102" s="948"/>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c r="AJ102" s="948"/>
      <c r="AK102" s="948"/>
      <c r="AL102" s="948"/>
      <c r="AM102" s="948"/>
      <c r="AN102" s="948"/>
      <c r="AO102" s="948"/>
      <c r="AP102" s="948"/>
      <c r="AQ102" s="948"/>
      <c r="AR102" s="948"/>
      <c r="AS102" s="948"/>
      <c r="AT102" s="948"/>
      <c r="AU102" s="948"/>
      <c r="AV102" s="948"/>
      <c r="AW102" s="948"/>
      <c r="AX102" s="948"/>
      <c r="AY102" s="948"/>
      <c r="AZ102" s="948"/>
      <c r="BA102" s="948"/>
      <c r="BB102" s="948"/>
      <c r="BC102" s="948"/>
      <c r="BD102" s="948"/>
      <c r="BE102" s="948"/>
      <c r="BF102" s="948"/>
      <c r="BG102" s="948"/>
      <c r="BH102" s="948"/>
      <c r="BI102" s="948"/>
      <c r="BJ102" s="948"/>
      <c r="BK102" s="948"/>
      <c r="BL102" s="948"/>
      <c r="BM102" s="948"/>
      <c r="BN102" s="948"/>
      <c r="BO102" s="948"/>
      <c r="BP102" s="948"/>
      <c r="BQ102" s="948"/>
      <c r="BR102" s="948"/>
      <c r="BS102" s="948"/>
      <c r="BT102" s="948"/>
      <c r="BU102" s="948"/>
      <c r="BV102" s="948"/>
      <c r="BW102" s="948"/>
      <c r="BX102" s="948"/>
      <c r="BY102" s="948"/>
      <c r="BZ102" s="948"/>
      <c r="CA102" s="948"/>
      <c r="CB102" s="948"/>
      <c r="CC102" s="948"/>
      <c r="CD102" s="948"/>
      <c r="CE102" s="948"/>
      <c r="CF102" s="948"/>
      <c r="CG102" s="948"/>
      <c r="CH102" s="948"/>
      <c r="CI102" s="948"/>
      <c r="CJ102" s="948"/>
      <c r="CK102" s="948"/>
      <c r="CL102" s="948"/>
      <c r="CM102" s="948"/>
      <c r="CN102" s="948"/>
      <c r="CO102" s="948"/>
      <c r="CP102" s="948"/>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row>
    <row r="103" spans="1:226" ht="14.1" customHeight="1">
      <c r="A103" s="12"/>
      <c r="B103" s="12"/>
      <c r="C103" s="12"/>
      <c r="D103" s="12"/>
      <c r="E103" s="38"/>
      <c r="F103" s="38"/>
      <c r="G103" s="12"/>
      <c r="H103" s="12"/>
      <c r="I103" s="12"/>
      <c r="J103" s="12"/>
      <c r="K103" s="12"/>
      <c r="L103" s="12"/>
      <c r="M103" s="948"/>
      <c r="N103" s="948"/>
      <c r="O103" s="948"/>
      <c r="P103" s="948"/>
      <c r="Q103" s="948"/>
      <c r="R103" s="948"/>
      <c r="S103" s="948"/>
      <c r="T103" s="948"/>
      <c r="U103" s="948"/>
      <c r="V103" s="948"/>
      <c r="W103" s="948"/>
      <c r="X103" s="948"/>
      <c r="Y103" s="948"/>
      <c r="Z103" s="948"/>
      <c r="AA103" s="948"/>
      <c r="AB103" s="948"/>
      <c r="AC103" s="948"/>
      <c r="AD103" s="948"/>
      <c r="AE103" s="948"/>
      <c r="AF103" s="948"/>
      <c r="AG103" s="948"/>
      <c r="AH103" s="948"/>
      <c r="AI103" s="948"/>
      <c r="AJ103" s="948"/>
      <c r="AK103" s="948"/>
      <c r="AL103" s="948"/>
      <c r="AM103" s="948"/>
      <c r="AN103" s="948"/>
      <c r="AO103" s="948"/>
      <c r="AP103" s="948"/>
      <c r="AQ103" s="948"/>
      <c r="AR103" s="948"/>
      <c r="AS103" s="948"/>
      <c r="AT103" s="948"/>
      <c r="AU103" s="948"/>
      <c r="AV103" s="948"/>
      <c r="AW103" s="948"/>
      <c r="AX103" s="948"/>
      <c r="AY103" s="948"/>
      <c r="AZ103" s="948"/>
      <c r="BA103" s="948"/>
      <c r="BB103" s="948"/>
      <c r="BC103" s="948"/>
      <c r="BD103" s="948"/>
      <c r="BE103" s="948"/>
      <c r="BF103" s="948"/>
      <c r="BG103" s="948"/>
      <c r="BH103" s="948"/>
      <c r="BI103" s="948"/>
      <c r="BJ103" s="948"/>
      <c r="BK103" s="948"/>
      <c r="BL103" s="948"/>
      <c r="BM103" s="948"/>
      <c r="BN103" s="948"/>
      <c r="BO103" s="948"/>
      <c r="BP103" s="948"/>
      <c r="BQ103" s="948"/>
      <c r="BR103" s="948"/>
      <c r="BS103" s="948"/>
      <c r="BT103" s="948"/>
      <c r="BU103" s="948"/>
      <c r="BV103" s="948"/>
      <c r="BW103" s="948"/>
      <c r="BX103" s="948"/>
      <c r="BY103" s="948"/>
      <c r="BZ103" s="948"/>
      <c r="CA103" s="948"/>
      <c r="CB103" s="948"/>
      <c r="CC103" s="948"/>
      <c r="CD103" s="948"/>
      <c r="CE103" s="948"/>
      <c r="CF103" s="948"/>
      <c r="CG103" s="948"/>
      <c r="CH103" s="948"/>
      <c r="CI103" s="948"/>
      <c r="CJ103" s="948"/>
      <c r="CK103" s="948"/>
      <c r="CL103" s="948"/>
      <c r="CM103" s="948"/>
      <c r="CN103" s="948"/>
      <c r="CO103" s="948"/>
      <c r="CP103" s="948"/>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row>
    <row r="104" spans="1:226" ht="14.1" customHeight="1">
      <c r="A104" s="12"/>
      <c r="B104" s="12"/>
      <c r="C104" s="12"/>
      <c r="D104" s="12"/>
      <c r="E104" s="38"/>
      <c r="F104" s="38"/>
      <c r="G104" s="12"/>
      <c r="H104" s="12"/>
      <c r="I104" s="12"/>
      <c r="J104" s="12"/>
      <c r="K104" s="12"/>
      <c r="L104" s="12"/>
      <c r="M104" s="948"/>
      <c r="N104" s="948"/>
      <c r="O104" s="948"/>
      <c r="P104" s="948"/>
      <c r="Q104" s="948"/>
      <c r="R104" s="948"/>
      <c r="S104" s="948"/>
      <c r="T104" s="948"/>
      <c r="U104" s="948"/>
      <c r="V104" s="948"/>
      <c r="W104" s="948"/>
      <c r="X104" s="948"/>
      <c r="Y104" s="948"/>
      <c r="Z104" s="948"/>
      <c r="AA104" s="948"/>
      <c r="AB104" s="948"/>
      <c r="AC104" s="948"/>
      <c r="AD104" s="948"/>
      <c r="AE104" s="948"/>
      <c r="AF104" s="948"/>
      <c r="AG104" s="948"/>
      <c r="AH104" s="948"/>
      <c r="AI104" s="948"/>
      <c r="AJ104" s="948"/>
      <c r="AK104" s="948"/>
      <c r="AL104" s="948"/>
      <c r="AM104" s="948"/>
      <c r="AN104" s="948"/>
      <c r="AO104" s="948"/>
      <c r="AP104" s="948"/>
      <c r="AQ104" s="948"/>
      <c r="AR104" s="948"/>
      <c r="AS104" s="948"/>
      <c r="AT104" s="948"/>
      <c r="AU104" s="948"/>
      <c r="AV104" s="948"/>
      <c r="AW104" s="948"/>
      <c r="AX104" s="948"/>
      <c r="AY104" s="948"/>
      <c r="AZ104" s="948"/>
      <c r="BA104" s="948"/>
      <c r="BB104" s="948"/>
      <c r="BC104" s="948"/>
      <c r="BD104" s="948"/>
      <c r="BE104" s="948"/>
      <c r="BF104" s="948"/>
      <c r="BG104" s="948"/>
      <c r="BH104" s="948"/>
      <c r="BI104" s="948"/>
      <c r="BJ104" s="948"/>
      <c r="BK104" s="948"/>
      <c r="BL104" s="948"/>
      <c r="BM104" s="948"/>
      <c r="BN104" s="948"/>
      <c r="BO104" s="948"/>
      <c r="BP104" s="948"/>
      <c r="BQ104" s="948"/>
      <c r="BR104" s="948"/>
      <c r="BS104" s="948"/>
      <c r="BT104" s="948"/>
      <c r="BU104" s="948"/>
      <c r="BV104" s="948"/>
      <c r="BW104" s="948"/>
      <c r="BX104" s="948"/>
      <c r="BY104" s="948"/>
      <c r="BZ104" s="948"/>
      <c r="CA104" s="948"/>
      <c r="CB104" s="948"/>
      <c r="CC104" s="948"/>
      <c r="CD104" s="948"/>
      <c r="CE104" s="948"/>
      <c r="CF104" s="948"/>
      <c r="CG104" s="948"/>
      <c r="CH104" s="948"/>
      <c r="CI104" s="948"/>
      <c r="CJ104" s="948"/>
      <c r="CK104" s="948"/>
      <c r="CL104" s="948"/>
      <c r="CM104" s="948"/>
      <c r="CN104" s="948"/>
      <c r="CO104" s="948"/>
      <c r="CP104" s="948"/>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row>
    <row r="105" spans="1:226" ht="14.1" customHeight="1">
      <c r="A105" s="12"/>
      <c r="B105" s="12"/>
      <c r="C105" s="12"/>
      <c r="D105" s="12"/>
      <c r="E105" s="38"/>
      <c r="F105" s="38"/>
      <c r="G105" s="12"/>
      <c r="H105" s="12"/>
      <c r="I105" s="12"/>
      <c r="J105" s="12"/>
      <c r="K105" s="12"/>
      <c r="L105" s="12"/>
      <c r="M105" s="948"/>
      <c r="N105" s="948"/>
      <c r="O105" s="948"/>
      <c r="P105" s="948"/>
      <c r="Q105" s="948"/>
      <c r="R105" s="948"/>
      <c r="S105" s="948"/>
      <c r="T105" s="948"/>
      <c r="U105" s="948"/>
      <c r="V105" s="948"/>
      <c r="W105" s="948"/>
      <c r="X105" s="948"/>
      <c r="Y105" s="948"/>
      <c r="Z105" s="948"/>
      <c r="AA105" s="948"/>
      <c r="AB105" s="948"/>
      <c r="AC105" s="948"/>
      <c r="AD105" s="948"/>
      <c r="AE105" s="948"/>
      <c r="AF105" s="948"/>
      <c r="AG105" s="948"/>
      <c r="AH105" s="948"/>
      <c r="AI105" s="948"/>
      <c r="AJ105" s="948"/>
      <c r="AK105" s="948"/>
      <c r="AL105" s="948"/>
      <c r="AM105" s="948"/>
      <c r="AN105" s="948"/>
      <c r="AO105" s="948"/>
      <c r="AP105" s="948"/>
      <c r="AQ105" s="948"/>
      <c r="AR105" s="948"/>
      <c r="AS105" s="948"/>
      <c r="AT105" s="948"/>
      <c r="AU105" s="948"/>
      <c r="AV105" s="948"/>
      <c r="AW105" s="948"/>
      <c r="AX105" s="948"/>
      <c r="AY105" s="948"/>
      <c r="AZ105" s="948"/>
      <c r="BA105" s="948"/>
      <c r="BB105" s="948"/>
      <c r="BC105" s="948"/>
      <c r="BD105" s="948"/>
      <c r="BE105" s="948"/>
      <c r="BF105" s="948"/>
      <c r="BG105" s="948"/>
      <c r="BH105" s="948"/>
      <c r="BI105" s="948"/>
      <c r="BJ105" s="948"/>
      <c r="BK105" s="948"/>
      <c r="BL105" s="948"/>
      <c r="BM105" s="948"/>
      <c r="BN105" s="948"/>
      <c r="BO105" s="948"/>
      <c r="BP105" s="948"/>
      <c r="BQ105" s="948"/>
      <c r="BR105" s="948"/>
      <c r="BS105" s="948"/>
      <c r="BT105" s="948"/>
      <c r="BU105" s="948"/>
      <c r="BV105" s="948"/>
      <c r="BW105" s="948"/>
      <c r="BX105" s="948"/>
      <c r="BY105" s="948"/>
      <c r="BZ105" s="948"/>
      <c r="CA105" s="948"/>
      <c r="CB105" s="948"/>
      <c r="CC105" s="948"/>
      <c r="CD105" s="948"/>
      <c r="CE105" s="948"/>
      <c r="CF105" s="948"/>
      <c r="CG105" s="948"/>
      <c r="CH105" s="948"/>
      <c r="CI105" s="948"/>
      <c r="CJ105" s="948"/>
      <c r="CK105" s="948"/>
      <c r="CL105" s="948"/>
      <c r="CM105" s="948"/>
      <c r="CN105" s="948"/>
      <c r="CO105" s="948"/>
      <c r="CP105" s="948"/>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row>
    <row r="106" spans="1:226" ht="14.1" customHeight="1">
      <c r="A106" s="12"/>
      <c r="B106" s="12"/>
      <c r="C106" s="12"/>
      <c r="D106" s="12"/>
      <c r="E106" s="38"/>
      <c r="F106" s="38"/>
      <c r="G106" s="12"/>
      <c r="H106" s="12"/>
      <c r="I106" s="12"/>
      <c r="J106" s="12"/>
      <c r="K106" s="12"/>
      <c r="L106" s="12"/>
      <c r="M106" s="948"/>
      <c r="N106" s="948"/>
      <c r="O106" s="948"/>
      <c r="P106" s="948"/>
      <c r="Q106" s="948"/>
      <c r="R106" s="948"/>
      <c r="S106" s="948"/>
      <c r="T106" s="948"/>
      <c r="U106" s="948"/>
      <c r="V106" s="948"/>
      <c r="W106" s="948"/>
      <c r="X106" s="948"/>
      <c r="Y106" s="948"/>
      <c r="Z106" s="948"/>
      <c r="AA106" s="948"/>
      <c r="AB106" s="948"/>
      <c r="AC106" s="948"/>
      <c r="AD106" s="948"/>
      <c r="AE106" s="948"/>
      <c r="AF106" s="948"/>
      <c r="AG106" s="948"/>
      <c r="AH106" s="948"/>
      <c r="AI106" s="948"/>
      <c r="AJ106" s="948"/>
      <c r="AK106" s="948"/>
      <c r="AL106" s="948"/>
      <c r="AM106" s="948"/>
      <c r="AN106" s="948"/>
      <c r="AO106" s="948"/>
      <c r="AP106" s="948"/>
      <c r="AQ106" s="948"/>
      <c r="AR106" s="948"/>
      <c r="AS106" s="948"/>
      <c r="AT106" s="948"/>
      <c r="AU106" s="948"/>
      <c r="AV106" s="948"/>
      <c r="AW106" s="948"/>
      <c r="AX106" s="948"/>
      <c r="AY106" s="948"/>
      <c r="AZ106" s="948"/>
      <c r="BA106" s="948"/>
      <c r="BB106" s="948"/>
      <c r="BC106" s="948"/>
      <c r="BD106" s="948"/>
      <c r="BE106" s="948"/>
      <c r="BF106" s="948"/>
      <c r="BG106" s="948"/>
      <c r="BH106" s="948"/>
      <c r="BI106" s="948"/>
      <c r="BJ106" s="948"/>
      <c r="BK106" s="948"/>
      <c r="BL106" s="948"/>
      <c r="BM106" s="948"/>
      <c r="BN106" s="948"/>
      <c r="BO106" s="948"/>
      <c r="BP106" s="948"/>
      <c r="BQ106" s="948"/>
      <c r="BR106" s="948"/>
      <c r="BS106" s="948"/>
      <c r="BT106" s="948"/>
      <c r="BU106" s="948"/>
      <c r="BV106" s="948"/>
      <c r="BW106" s="948"/>
      <c r="BX106" s="948"/>
      <c r="BY106" s="948"/>
      <c r="BZ106" s="948"/>
      <c r="CA106" s="948"/>
      <c r="CB106" s="948"/>
      <c r="CC106" s="948"/>
      <c r="CD106" s="948"/>
      <c r="CE106" s="948"/>
      <c r="CF106" s="948"/>
      <c r="CG106" s="948"/>
      <c r="CH106" s="948"/>
      <c r="CI106" s="948"/>
      <c r="CJ106" s="948"/>
      <c r="CK106" s="948"/>
      <c r="CL106" s="948"/>
      <c r="CM106" s="948"/>
      <c r="CN106" s="948"/>
      <c r="CO106" s="948"/>
      <c r="CP106" s="948"/>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row>
    <row r="107" spans="1:226" ht="14.1" customHeight="1">
      <c r="A107" s="12"/>
      <c r="B107" s="12"/>
      <c r="C107" s="12"/>
      <c r="D107" s="12"/>
      <c r="E107" s="38"/>
      <c r="F107" s="38"/>
      <c r="G107" s="12"/>
      <c r="H107" s="12"/>
      <c r="I107" s="12"/>
      <c r="J107" s="12"/>
      <c r="K107" s="12"/>
      <c r="L107" s="12"/>
      <c r="M107" s="948"/>
      <c r="N107" s="948"/>
      <c r="O107" s="948"/>
      <c r="P107" s="948"/>
      <c r="Q107" s="948"/>
      <c r="R107" s="948"/>
      <c r="S107" s="948"/>
      <c r="T107" s="948"/>
      <c r="U107" s="948"/>
      <c r="V107" s="948"/>
      <c r="W107" s="948"/>
      <c r="X107" s="948"/>
      <c r="Y107" s="948"/>
      <c r="Z107" s="948"/>
      <c r="AA107" s="948"/>
      <c r="AB107" s="948"/>
      <c r="AC107" s="948"/>
      <c r="AD107" s="948"/>
      <c r="AE107" s="948"/>
      <c r="AF107" s="948"/>
      <c r="AG107" s="948"/>
      <c r="AH107" s="948"/>
      <c r="AI107" s="948"/>
      <c r="AJ107" s="948"/>
      <c r="AK107" s="948"/>
      <c r="AL107" s="948"/>
      <c r="AM107" s="948"/>
      <c r="AN107" s="948"/>
      <c r="AO107" s="948"/>
      <c r="AP107" s="948"/>
      <c r="AQ107" s="948"/>
      <c r="AR107" s="948"/>
      <c r="AS107" s="948"/>
      <c r="AT107" s="948"/>
      <c r="AU107" s="948"/>
      <c r="AV107" s="948"/>
      <c r="AW107" s="948"/>
      <c r="AX107" s="948"/>
      <c r="AY107" s="948"/>
      <c r="AZ107" s="948"/>
      <c r="BA107" s="948"/>
      <c r="BB107" s="948"/>
      <c r="BC107" s="948"/>
      <c r="BD107" s="948"/>
      <c r="BE107" s="948"/>
      <c r="BF107" s="948"/>
      <c r="BG107" s="948"/>
      <c r="BH107" s="948"/>
      <c r="BI107" s="948"/>
      <c r="BJ107" s="948"/>
      <c r="BK107" s="948"/>
      <c r="BL107" s="948"/>
      <c r="BM107" s="948"/>
      <c r="BN107" s="948"/>
      <c r="BO107" s="948"/>
      <c r="BP107" s="948"/>
      <c r="BQ107" s="948"/>
      <c r="BR107" s="948"/>
      <c r="BS107" s="948"/>
      <c r="BT107" s="948"/>
      <c r="BU107" s="948"/>
      <c r="BV107" s="948"/>
      <c r="BW107" s="948"/>
      <c r="BX107" s="948"/>
      <c r="BY107" s="948"/>
      <c r="BZ107" s="948"/>
      <c r="CA107" s="948"/>
      <c r="CB107" s="948"/>
      <c r="CC107" s="948"/>
      <c r="CD107" s="948"/>
      <c r="CE107" s="948"/>
      <c r="CF107" s="948"/>
      <c r="CG107" s="948"/>
      <c r="CH107" s="948"/>
      <c r="CI107" s="948"/>
      <c r="CJ107" s="948"/>
      <c r="CK107" s="948"/>
      <c r="CL107" s="948"/>
      <c r="CM107" s="948"/>
      <c r="CN107" s="948"/>
      <c r="CO107" s="948"/>
      <c r="CP107" s="948"/>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row>
    <row r="108" spans="1:226" ht="14.1" customHeight="1">
      <c r="A108" s="12"/>
      <c r="B108" s="12"/>
      <c r="C108" s="12"/>
      <c r="D108" s="12"/>
      <c r="E108" s="38"/>
      <c r="F108" s="38"/>
      <c r="G108" s="12"/>
      <c r="H108" s="12"/>
      <c r="I108" s="12"/>
      <c r="J108" s="12"/>
      <c r="K108" s="12"/>
      <c r="L108" s="12"/>
      <c r="M108" s="948"/>
      <c r="N108" s="948"/>
      <c r="O108" s="948"/>
      <c r="P108" s="948"/>
      <c r="Q108" s="948"/>
      <c r="R108" s="948"/>
      <c r="S108" s="948"/>
      <c r="T108" s="948"/>
      <c r="U108" s="948"/>
      <c r="V108" s="948"/>
      <c r="W108" s="948"/>
      <c r="X108" s="948"/>
      <c r="Y108" s="948"/>
      <c r="Z108" s="948"/>
      <c r="AA108" s="948"/>
      <c r="AB108" s="948"/>
      <c r="AC108" s="948"/>
      <c r="AD108" s="948"/>
      <c r="AE108" s="948"/>
      <c r="AF108" s="948"/>
      <c r="AG108" s="948"/>
      <c r="AH108" s="948"/>
      <c r="AI108" s="948"/>
      <c r="AJ108" s="948"/>
      <c r="AK108" s="948"/>
      <c r="AL108" s="948"/>
      <c r="AM108" s="948"/>
      <c r="AN108" s="948"/>
      <c r="AO108" s="948"/>
      <c r="AP108" s="948"/>
      <c r="AQ108" s="948"/>
      <c r="AR108" s="948"/>
      <c r="AS108" s="948"/>
      <c r="AT108" s="948"/>
      <c r="AU108" s="948"/>
      <c r="AV108" s="948"/>
      <c r="AW108" s="948"/>
      <c r="AX108" s="948"/>
      <c r="AY108" s="948"/>
      <c r="AZ108" s="948"/>
      <c r="BA108" s="948"/>
      <c r="BB108" s="948"/>
      <c r="BC108" s="948"/>
      <c r="BD108" s="948"/>
      <c r="BE108" s="948"/>
      <c r="BF108" s="948"/>
      <c r="BG108" s="948"/>
      <c r="BH108" s="948"/>
      <c r="BI108" s="948"/>
      <c r="BJ108" s="948"/>
      <c r="BK108" s="948"/>
      <c r="BL108" s="948"/>
      <c r="BM108" s="948"/>
      <c r="BN108" s="948"/>
      <c r="BO108" s="948"/>
      <c r="BP108" s="948"/>
      <c r="BQ108" s="948"/>
      <c r="BR108" s="948"/>
      <c r="BS108" s="948"/>
      <c r="BT108" s="948"/>
      <c r="BU108" s="948"/>
      <c r="BV108" s="948"/>
      <c r="BW108" s="948"/>
      <c r="BX108" s="948"/>
      <c r="BY108" s="948"/>
      <c r="BZ108" s="948"/>
      <c r="CA108" s="948"/>
      <c r="CB108" s="948"/>
      <c r="CC108" s="948"/>
      <c r="CD108" s="948"/>
      <c r="CE108" s="948"/>
      <c r="CF108" s="948"/>
      <c r="CG108" s="948"/>
      <c r="CH108" s="948"/>
      <c r="CI108" s="948"/>
      <c r="CJ108" s="948"/>
      <c r="CK108" s="948"/>
      <c r="CL108" s="948"/>
      <c r="CM108" s="948"/>
      <c r="CN108" s="948"/>
      <c r="CO108" s="948"/>
      <c r="CP108" s="948"/>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row>
    <row r="109" spans="1:226" ht="14.1" customHeight="1">
      <c r="A109" s="12"/>
      <c r="B109" s="12"/>
      <c r="C109" s="12"/>
      <c r="D109" s="12"/>
      <c r="E109" s="38"/>
      <c r="F109" s="38"/>
      <c r="G109" s="12"/>
      <c r="H109" s="12"/>
      <c r="I109" s="12"/>
      <c r="J109" s="12"/>
      <c r="K109" s="12"/>
      <c r="L109" s="12"/>
      <c r="M109" s="948"/>
      <c r="N109" s="948"/>
      <c r="O109" s="948"/>
      <c r="P109" s="948"/>
      <c r="Q109" s="948"/>
      <c r="R109" s="948"/>
      <c r="S109" s="948"/>
      <c r="T109" s="948"/>
      <c r="U109" s="948"/>
      <c r="V109" s="948"/>
      <c r="W109" s="948"/>
      <c r="X109" s="948"/>
      <c r="Y109" s="948"/>
      <c r="Z109" s="948"/>
      <c r="AA109" s="948"/>
      <c r="AB109" s="948"/>
      <c r="AC109" s="948"/>
      <c r="AD109" s="948"/>
      <c r="AE109" s="948"/>
      <c r="AF109" s="948"/>
      <c r="AG109" s="948"/>
      <c r="AH109" s="948"/>
      <c r="AI109" s="948"/>
      <c r="AJ109" s="948"/>
      <c r="AK109" s="948"/>
      <c r="AL109" s="948"/>
      <c r="AM109" s="948"/>
      <c r="AN109" s="948"/>
      <c r="AO109" s="948"/>
      <c r="AP109" s="948"/>
      <c r="AQ109" s="948"/>
      <c r="AR109" s="948"/>
      <c r="AS109" s="948"/>
      <c r="AT109" s="948"/>
      <c r="AU109" s="948"/>
      <c r="AV109" s="948"/>
      <c r="AW109" s="948"/>
      <c r="AX109" s="948"/>
      <c r="AY109" s="948"/>
      <c r="AZ109" s="948"/>
      <c r="BA109" s="948"/>
      <c r="BB109" s="948"/>
      <c r="BC109" s="948"/>
      <c r="BD109" s="948"/>
      <c r="BE109" s="948"/>
      <c r="BF109" s="948"/>
      <c r="BG109" s="948"/>
      <c r="BH109" s="948"/>
      <c r="BI109" s="948"/>
      <c r="BJ109" s="948"/>
      <c r="BK109" s="948"/>
      <c r="BL109" s="948"/>
      <c r="BM109" s="948"/>
      <c r="BN109" s="948"/>
      <c r="BO109" s="948"/>
      <c r="BP109" s="948"/>
      <c r="BQ109" s="948"/>
      <c r="BR109" s="948"/>
      <c r="BS109" s="948"/>
      <c r="BT109" s="948"/>
      <c r="BU109" s="948"/>
      <c r="BV109" s="948"/>
      <c r="BW109" s="948"/>
      <c r="BX109" s="948"/>
      <c r="BY109" s="948"/>
      <c r="BZ109" s="948"/>
      <c r="CA109" s="948"/>
      <c r="CB109" s="948"/>
      <c r="CC109" s="948"/>
      <c r="CD109" s="948"/>
      <c r="CE109" s="948"/>
      <c r="CF109" s="948"/>
      <c r="CG109" s="948"/>
      <c r="CH109" s="948"/>
      <c r="CI109" s="948"/>
      <c r="CJ109" s="948"/>
      <c r="CK109" s="948"/>
      <c r="CL109" s="948"/>
      <c r="CM109" s="948"/>
      <c r="CN109" s="948"/>
      <c r="CO109" s="948"/>
      <c r="CP109" s="948"/>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row>
    <row r="110" spans="1:226" ht="14.1" customHeight="1">
      <c r="A110" s="12"/>
      <c r="B110" s="12"/>
      <c r="C110" s="12"/>
      <c r="D110" s="12"/>
      <c r="E110" s="38"/>
      <c r="F110" s="38"/>
      <c r="G110" s="12"/>
      <c r="H110" s="12"/>
      <c r="I110" s="12"/>
      <c r="J110" s="12"/>
      <c r="K110" s="12"/>
      <c r="L110" s="12"/>
      <c r="M110" s="948"/>
      <c r="N110" s="948"/>
      <c r="O110" s="948"/>
      <c r="P110" s="948"/>
      <c r="Q110" s="948"/>
      <c r="R110" s="948"/>
      <c r="S110" s="948"/>
      <c r="T110" s="948"/>
      <c r="U110" s="948"/>
      <c r="V110" s="948"/>
      <c r="W110" s="948"/>
      <c r="X110" s="948"/>
      <c r="Y110" s="948"/>
      <c r="Z110" s="948"/>
      <c r="AA110" s="948"/>
      <c r="AB110" s="948"/>
      <c r="AC110" s="948"/>
      <c r="AD110" s="948"/>
      <c r="AE110" s="948"/>
      <c r="AF110" s="948"/>
      <c r="AG110" s="948"/>
      <c r="AH110" s="948"/>
      <c r="AI110" s="948"/>
      <c r="AJ110" s="948"/>
      <c r="AK110" s="948"/>
      <c r="AL110" s="948"/>
      <c r="AM110" s="948"/>
      <c r="AN110" s="948"/>
      <c r="AO110" s="948"/>
      <c r="AP110" s="948"/>
      <c r="AQ110" s="948"/>
      <c r="AR110" s="948"/>
      <c r="AS110" s="948"/>
      <c r="AT110" s="948"/>
      <c r="AU110" s="948"/>
      <c r="AV110" s="948"/>
      <c r="AW110" s="948"/>
      <c r="AX110" s="948"/>
      <c r="AY110" s="948"/>
      <c r="AZ110" s="948"/>
      <c r="BA110" s="948"/>
      <c r="BB110" s="948"/>
      <c r="BC110" s="948"/>
      <c r="BD110" s="948"/>
      <c r="BE110" s="948"/>
      <c r="BF110" s="948"/>
      <c r="BG110" s="948"/>
      <c r="BH110" s="948"/>
      <c r="BI110" s="948"/>
      <c r="BJ110" s="948"/>
      <c r="BK110" s="948"/>
      <c r="BL110" s="948"/>
      <c r="BM110" s="948"/>
      <c r="BN110" s="948"/>
      <c r="BO110" s="948"/>
      <c r="BP110" s="948"/>
      <c r="BQ110" s="948"/>
      <c r="BR110" s="948"/>
      <c r="BS110" s="948"/>
      <c r="BT110" s="948"/>
      <c r="BU110" s="948"/>
      <c r="BV110" s="948"/>
      <c r="BW110" s="948"/>
      <c r="BX110" s="948"/>
      <c r="BY110" s="948"/>
      <c r="BZ110" s="948"/>
      <c r="CA110" s="948"/>
      <c r="CB110" s="948"/>
      <c r="CC110" s="948"/>
      <c r="CD110" s="948"/>
      <c r="CE110" s="948"/>
      <c r="CF110" s="948"/>
      <c r="CG110" s="948"/>
      <c r="CH110" s="948"/>
      <c r="CI110" s="948"/>
      <c r="CJ110" s="948"/>
      <c r="CK110" s="948"/>
      <c r="CL110" s="948"/>
      <c r="CM110" s="948"/>
      <c r="CN110" s="948"/>
      <c r="CO110" s="948"/>
      <c r="CP110" s="948"/>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row>
    <row r="111" spans="1:226" ht="14.1" customHeight="1">
      <c r="A111" s="12"/>
      <c r="B111" s="12"/>
      <c r="C111" s="12"/>
      <c r="D111" s="12"/>
      <c r="E111" s="38"/>
      <c r="F111" s="38"/>
      <c r="G111" s="12"/>
      <c r="H111" s="12"/>
      <c r="I111" s="12"/>
      <c r="J111" s="12"/>
      <c r="K111" s="12"/>
      <c r="L111" s="12"/>
      <c r="M111" s="948"/>
      <c r="Q111" s="948"/>
      <c r="R111" s="948"/>
      <c r="S111" s="948"/>
      <c r="T111" s="948"/>
      <c r="U111" s="948"/>
      <c r="V111" s="948"/>
      <c r="W111" s="948"/>
      <c r="X111" s="948"/>
      <c r="Y111" s="948"/>
      <c r="Z111" s="948"/>
      <c r="AA111" s="948"/>
      <c r="AB111" s="948"/>
      <c r="AC111" s="948"/>
      <c r="AD111" s="948"/>
      <c r="AE111" s="948"/>
      <c r="AF111" s="948"/>
      <c r="AG111" s="948"/>
      <c r="AH111" s="948"/>
      <c r="AI111" s="948"/>
      <c r="AJ111" s="948"/>
      <c r="AK111" s="948"/>
      <c r="AL111" s="948"/>
      <c r="AM111" s="948"/>
      <c r="AN111" s="948"/>
      <c r="AO111" s="948"/>
      <c r="AP111" s="948"/>
      <c r="AQ111" s="948"/>
      <c r="AR111" s="948"/>
      <c r="AS111" s="948"/>
      <c r="AT111" s="948"/>
      <c r="AU111" s="948"/>
      <c r="AV111" s="948"/>
      <c r="AW111" s="948"/>
      <c r="AX111" s="948"/>
      <c r="AY111" s="948"/>
      <c r="AZ111" s="948"/>
      <c r="BA111" s="948"/>
      <c r="BB111" s="948"/>
      <c r="BC111" s="948"/>
      <c r="BD111" s="948"/>
      <c r="BE111" s="948"/>
      <c r="BF111" s="948"/>
      <c r="BG111" s="948"/>
      <c r="BH111" s="948"/>
      <c r="BI111" s="948"/>
      <c r="BJ111" s="948"/>
      <c r="BK111" s="948"/>
      <c r="BL111" s="948"/>
      <c r="BM111" s="948"/>
      <c r="BN111" s="948"/>
      <c r="BO111" s="948"/>
      <c r="BP111" s="948"/>
      <c r="BQ111" s="948"/>
      <c r="BR111" s="948"/>
      <c r="BS111" s="948"/>
      <c r="BT111" s="948"/>
      <c r="BU111" s="948"/>
      <c r="BV111" s="948"/>
      <c r="BW111" s="948"/>
      <c r="BX111" s="948"/>
      <c r="BY111" s="948"/>
      <c r="BZ111" s="948"/>
      <c r="CA111" s="948"/>
      <c r="CB111" s="948"/>
      <c r="CC111" s="948"/>
      <c r="CD111" s="948"/>
      <c r="CE111" s="948"/>
      <c r="CF111" s="948"/>
      <c r="CG111" s="948"/>
      <c r="CH111" s="948"/>
      <c r="CI111" s="948"/>
      <c r="CJ111" s="948"/>
      <c r="CK111" s="948"/>
      <c r="CL111" s="948"/>
      <c r="CM111" s="948"/>
      <c r="CN111" s="948"/>
      <c r="CO111" s="948"/>
      <c r="CP111" s="948"/>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row>
    <row r="112" spans="1:226" ht="14.1" customHeight="1">
      <c r="A112" s="12"/>
      <c r="B112" s="12"/>
      <c r="C112" s="12"/>
      <c r="D112" s="12"/>
      <c r="E112" s="38"/>
      <c r="F112" s="38"/>
      <c r="G112" s="12"/>
      <c r="H112" s="12"/>
      <c r="I112" s="12"/>
      <c r="J112" s="12"/>
      <c r="K112" s="12"/>
      <c r="L112" s="12"/>
      <c r="M112" s="948"/>
      <c r="Q112" s="948"/>
      <c r="R112" s="948"/>
      <c r="S112" s="948"/>
      <c r="T112" s="948"/>
      <c r="U112" s="948"/>
      <c r="V112" s="948"/>
      <c r="W112" s="948"/>
      <c r="X112" s="948"/>
      <c r="Y112" s="948"/>
      <c r="Z112" s="948"/>
      <c r="AA112" s="948"/>
      <c r="AB112" s="948"/>
      <c r="AC112" s="948"/>
      <c r="AD112" s="948"/>
      <c r="AE112" s="948"/>
      <c r="AF112" s="948"/>
      <c r="AG112" s="948"/>
      <c r="AH112" s="948"/>
      <c r="AI112" s="948"/>
      <c r="AJ112" s="948"/>
      <c r="AK112" s="948"/>
      <c r="AL112" s="948"/>
      <c r="AM112" s="948"/>
      <c r="AN112" s="948"/>
      <c r="AO112" s="948"/>
      <c r="AP112" s="948"/>
      <c r="AQ112" s="948"/>
      <c r="AR112" s="948"/>
      <c r="AS112" s="948"/>
      <c r="AT112" s="948"/>
      <c r="AU112" s="948"/>
      <c r="AV112" s="948"/>
      <c r="AW112" s="948"/>
      <c r="AX112" s="948"/>
      <c r="AY112" s="948"/>
      <c r="AZ112" s="948"/>
      <c r="BA112" s="948"/>
      <c r="BB112" s="948"/>
      <c r="BC112" s="948"/>
      <c r="BD112" s="948"/>
      <c r="BE112" s="948"/>
      <c r="BF112" s="948"/>
      <c r="BG112" s="948"/>
      <c r="BH112" s="948"/>
      <c r="BI112" s="948"/>
      <c r="BJ112" s="948"/>
      <c r="BK112" s="948"/>
      <c r="BL112" s="948"/>
      <c r="BM112" s="948"/>
      <c r="BN112" s="948"/>
      <c r="BO112" s="948"/>
      <c r="BP112" s="948"/>
      <c r="BQ112" s="948"/>
      <c r="BR112" s="948"/>
      <c r="BS112" s="948"/>
      <c r="BT112" s="948"/>
      <c r="BU112" s="948"/>
      <c r="BV112" s="948"/>
      <c r="BW112" s="948"/>
      <c r="BX112" s="948"/>
      <c r="BY112" s="948"/>
      <c r="BZ112" s="948"/>
      <c r="CA112" s="948"/>
      <c r="CB112" s="948"/>
      <c r="CC112" s="948"/>
      <c r="CD112" s="948"/>
      <c r="CE112" s="948"/>
      <c r="CF112" s="948"/>
      <c r="CG112" s="948"/>
      <c r="CH112" s="948"/>
      <c r="CI112" s="948"/>
      <c r="CJ112" s="948"/>
      <c r="CK112" s="948"/>
      <c r="CL112" s="948"/>
      <c r="CM112" s="948"/>
      <c r="CN112" s="948"/>
      <c r="CO112" s="948"/>
      <c r="CP112" s="948"/>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mergeCells count="1">
    <mergeCell ref="A22:E22"/>
  </mergeCells>
  <phoneticPr fontId="13" type="noConversion"/>
  <pageMargins left="0.75" right="0.75" top="1" bottom="1" header="0.5" footer="0.5"/>
  <pageSetup scale="66"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heetViews>
  <sheetFormatPr defaultColWidth="8.85546875" defaultRowHeight="12.75"/>
  <cols>
    <col min="1" max="1" width="20.7109375" style="372" customWidth="1"/>
    <col min="2" max="2" width="20.28515625" style="372" customWidth="1"/>
    <col min="3" max="3" width="15.7109375" style="372" customWidth="1"/>
    <col min="4" max="4" width="23" style="372" customWidth="1"/>
    <col min="5" max="5" width="17" style="372" customWidth="1"/>
    <col min="6" max="6" width="18.7109375" style="372" customWidth="1"/>
    <col min="7" max="16384" width="8.85546875" style="372"/>
  </cols>
  <sheetData>
    <row r="1" spans="1:7" ht="18">
      <c r="A1" s="371" t="s">
        <v>1051</v>
      </c>
      <c r="B1" s="371"/>
      <c r="C1" s="371"/>
      <c r="D1" s="371"/>
      <c r="E1" s="371"/>
      <c r="F1" s="371"/>
    </row>
    <row r="2" spans="1:7" ht="15.75">
      <c r="A2" s="373" t="s">
        <v>1179</v>
      </c>
      <c r="B2" s="373"/>
      <c r="C2" s="373"/>
      <c r="D2" s="373"/>
      <c r="E2" s="373"/>
      <c r="F2" s="373"/>
    </row>
    <row r="3" spans="1:7" ht="18" customHeight="1" thickBot="1">
      <c r="A3" s="374"/>
      <c r="B3" s="374"/>
      <c r="C3" s="374"/>
      <c r="D3" s="375"/>
      <c r="E3" s="374"/>
      <c r="F3" s="374"/>
    </row>
    <row r="4" spans="1:7" s="376" customFormat="1" ht="45" customHeight="1">
      <c r="A4" s="1401" t="s">
        <v>861</v>
      </c>
      <c r="B4" s="1401"/>
      <c r="C4" s="1401"/>
      <c r="D4" s="377"/>
      <c r="E4" s="378"/>
      <c r="F4" s="377"/>
      <c r="G4" s="377"/>
    </row>
    <row r="5" spans="1:7" ht="18" customHeight="1">
      <c r="A5" s="383" t="s">
        <v>33</v>
      </c>
      <c r="B5" s="383" t="s">
        <v>860</v>
      </c>
      <c r="D5" s="374"/>
      <c r="E5" s="375"/>
      <c r="F5" s="374"/>
      <c r="G5" s="374"/>
    </row>
    <row r="6" spans="1:7" ht="18" customHeight="1">
      <c r="A6" s="384">
        <v>2007</v>
      </c>
      <c r="B6" s="385">
        <v>143332331.22493362</v>
      </c>
      <c r="D6" s="374"/>
      <c r="E6" s="375"/>
      <c r="F6" s="374"/>
      <c r="G6" s="374"/>
    </row>
    <row r="7" spans="1:7" ht="14.45" customHeight="1">
      <c r="A7" s="384">
        <v>2008</v>
      </c>
      <c r="B7" s="386">
        <v>213829116.38640201</v>
      </c>
      <c r="D7" s="374"/>
      <c r="E7" s="375"/>
      <c r="F7" s="374"/>
      <c r="G7" s="374"/>
    </row>
    <row r="8" spans="1:7" ht="15" customHeight="1">
      <c r="A8" s="384">
        <v>2009</v>
      </c>
      <c r="B8" s="386">
        <v>175364334.91890469</v>
      </c>
      <c r="D8" s="374"/>
      <c r="E8" s="375"/>
      <c r="F8" s="374"/>
      <c r="G8" s="374"/>
    </row>
    <row r="9" spans="1:7" ht="14.45" customHeight="1">
      <c r="A9" s="384">
        <v>2010</v>
      </c>
      <c r="B9" s="386">
        <v>143554116.64843339</v>
      </c>
      <c r="D9" s="374"/>
      <c r="E9" s="375"/>
      <c r="F9" s="374"/>
      <c r="G9" s="374"/>
    </row>
    <row r="10" spans="1:7" ht="13.9" customHeight="1">
      <c r="A10" s="384">
        <v>2011</v>
      </c>
      <c r="B10" s="386">
        <v>150273915</v>
      </c>
      <c r="D10" s="374"/>
      <c r="E10" s="375"/>
      <c r="F10" s="374"/>
      <c r="G10" s="374"/>
    </row>
    <row r="11" spans="1:7" ht="15.6" customHeight="1">
      <c r="A11" s="384">
        <v>2012</v>
      </c>
      <c r="B11" s="386">
        <v>156945693.35438961</v>
      </c>
      <c r="D11" s="374"/>
      <c r="E11" s="375"/>
      <c r="F11" s="374"/>
      <c r="G11" s="374"/>
    </row>
    <row r="12" spans="1:7" ht="14.1" customHeight="1">
      <c r="A12" s="384">
        <v>2013</v>
      </c>
      <c r="B12" s="386">
        <v>161434467.78945559</v>
      </c>
      <c r="D12" s="443"/>
      <c r="E12" s="375"/>
      <c r="F12" s="374"/>
      <c r="G12" s="374"/>
    </row>
    <row r="13" spans="1:7" ht="14.1" customHeight="1">
      <c r="A13" s="384">
        <v>2014</v>
      </c>
      <c r="B13" s="386">
        <v>208366102.08833417</v>
      </c>
      <c r="D13" s="443"/>
      <c r="E13" s="375"/>
      <c r="F13" s="374"/>
      <c r="G13" s="374"/>
    </row>
    <row r="14" spans="1:7" ht="14.1" customHeight="1">
      <c r="A14" s="384">
        <v>2015</v>
      </c>
      <c r="B14" s="386">
        <v>210994603.36485529</v>
      </c>
      <c r="D14" s="443"/>
      <c r="E14" s="375"/>
      <c r="F14" s="374"/>
      <c r="G14" s="374"/>
    </row>
    <row r="15" spans="1:7" ht="14.1" customHeight="1">
      <c r="A15" s="384">
        <v>2016</v>
      </c>
      <c r="B15" s="386">
        <v>223074819.58170167</v>
      </c>
      <c r="D15" s="443"/>
      <c r="E15" s="375"/>
      <c r="F15" s="374"/>
      <c r="G15" s="374"/>
    </row>
    <row r="16" spans="1:7" ht="14.1" customHeight="1">
      <c r="A16" s="384">
        <v>2017</v>
      </c>
      <c r="B16" s="386">
        <v>244370076.32769448</v>
      </c>
      <c r="D16" s="443"/>
      <c r="E16" s="375"/>
      <c r="F16" s="374"/>
      <c r="G16" s="374"/>
    </row>
    <row r="17" spans="1:8" ht="14.1" customHeight="1">
      <c r="A17" s="384">
        <v>2018</v>
      </c>
      <c r="B17" s="386">
        <v>314543689.44675058</v>
      </c>
      <c r="D17" s="946"/>
      <c r="E17" s="375"/>
      <c r="F17" s="374"/>
      <c r="G17" s="374"/>
    </row>
    <row r="18" spans="1:8" ht="14.1" customHeight="1">
      <c r="A18" s="384">
        <v>2019</v>
      </c>
      <c r="B18" s="386">
        <v>352673576.32049298</v>
      </c>
      <c r="D18" s="946"/>
      <c r="E18" s="375"/>
      <c r="F18" s="374"/>
      <c r="G18" s="374"/>
    </row>
    <row r="19" spans="1:8" ht="14.1" customHeight="1">
      <c r="A19" s="384">
        <v>2020</v>
      </c>
      <c r="B19" s="386">
        <v>366646468.66500294</v>
      </c>
      <c r="D19" s="946"/>
      <c r="E19" s="375"/>
      <c r="F19" s="374"/>
      <c r="G19" s="374"/>
    </row>
    <row r="20" spans="1:8" ht="14.1" customHeight="1">
      <c r="A20" s="384"/>
      <c r="B20" s="386"/>
      <c r="D20" s="946"/>
      <c r="E20" s="375"/>
      <c r="F20" s="374"/>
      <c r="G20" s="374"/>
    </row>
    <row r="21" spans="1:8" ht="14.1" customHeight="1">
      <c r="A21" s="384"/>
      <c r="B21" s="386"/>
      <c r="D21" s="946"/>
      <c r="E21" s="375"/>
      <c r="F21" s="374"/>
      <c r="G21" s="374"/>
    </row>
    <row r="22" spans="1:8" ht="18" customHeight="1">
      <c r="A22" s="374" t="s">
        <v>1</v>
      </c>
      <c r="B22" s="374"/>
      <c r="C22" s="1114">
        <f>B19/B18-1</f>
        <v>3.9619901468921137E-2</v>
      </c>
      <c r="D22" s="947"/>
      <c r="E22" s="374"/>
      <c r="F22" s="374"/>
    </row>
    <row r="23" spans="1:8" ht="12.75" customHeight="1">
      <c r="A23" s="1402" t="s">
        <v>1168</v>
      </c>
      <c r="B23" s="1402"/>
      <c r="C23" s="1402"/>
      <c r="D23" s="1360"/>
      <c r="E23" s="1316"/>
      <c r="F23" s="382"/>
    </row>
    <row r="24" spans="1:8">
      <c r="A24" s="1402"/>
      <c r="B24" s="1402"/>
      <c r="C24" s="1402"/>
      <c r="D24" s="1360"/>
      <c r="E24" s="1316"/>
      <c r="F24" s="382"/>
    </row>
    <row r="25" spans="1:8">
      <c r="A25" s="1402"/>
      <c r="B25" s="1402"/>
      <c r="C25" s="1402"/>
      <c r="D25" s="1360"/>
      <c r="E25" s="1316"/>
      <c r="F25" s="382"/>
    </row>
    <row r="26" spans="1:8">
      <c r="A26" s="1402"/>
      <c r="B26" s="1402"/>
      <c r="C26" s="1402"/>
      <c r="D26" s="1360"/>
      <c r="E26" s="1316"/>
      <c r="F26" s="382"/>
    </row>
    <row r="27" spans="1:8" s="379" customFormat="1">
      <c r="A27" s="1402"/>
      <c r="B27" s="1402"/>
      <c r="C27" s="1402"/>
      <c r="D27" s="1360"/>
      <c r="E27" s="1316"/>
      <c r="F27" s="382"/>
    </row>
    <row r="28" spans="1:8" ht="15">
      <c r="A28" s="1402"/>
      <c r="B28" s="1402"/>
      <c r="C28" s="1402"/>
      <c r="D28" s="1360"/>
      <c r="E28" s="1316"/>
      <c r="F28" s="380"/>
    </row>
    <row r="29" spans="1:8" ht="9" customHeight="1">
      <c r="A29" s="1402"/>
      <c r="B29" s="1402"/>
      <c r="C29" s="1402"/>
      <c r="D29" s="1360"/>
      <c r="E29" s="1316"/>
      <c r="F29" s="381"/>
      <c r="G29" s="376"/>
      <c r="H29" s="376"/>
    </row>
    <row r="30" spans="1:8" ht="5.25" customHeight="1">
      <c r="A30" s="1402"/>
      <c r="B30" s="1402"/>
      <c r="C30" s="1402"/>
      <c r="D30" s="1360"/>
      <c r="E30" s="1316"/>
      <c r="F30" s="376"/>
      <c r="G30" s="376"/>
      <c r="H30" s="376"/>
    </row>
    <row r="31" spans="1:8" ht="6.75" customHeight="1">
      <c r="A31" s="1403" t="s">
        <v>1180</v>
      </c>
      <c r="B31" s="1360"/>
      <c r="C31" s="1360"/>
      <c r="D31" s="1360"/>
      <c r="E31" s="1316"/>
    </row>
    <row r="32" spans="1:8" ht="22.5" customHeight="1">
      <c r="A32" s="1360"/>
      <c r="B32" s="1360"/>
      <c r="C32" s="1360"/>
      <c r="D32" s="1360"/>
      <c r="E32" s="1316"/>
    </row>
    <row r="33" spans="1:5" ht="47.25" customHeight="1">
      <c r="A33" s="1360"/>
      <c r="B33" s="1360"/>
      <c r="C33" s="1360"/>
      <c r="D33" s="1360"/>
      <c r="E33" s="1316"/>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3">
    <mergeCell ref="A4:C4"/>
    <mergeCell ref="A23:E30"/>
    <mergeCell ref="A31:E33"/>
  </mergeCells>
  <pageMargins left="1" right="1" top="0.75" bottom="0.75" header="0.5" footer="0.5"/>
  <pageSetup scale="86" orientation="landscape" r:id="rId2"/>
  <headerFooter alignWithMargins="0"/>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3"/>
  <sheetViews>
    <sheetView zoomScaleNormal="100" workbookViewId="0"/>
  </sheetViews>
  <sheetFormatPr defaultRowHeight="12.75"/>
  <cols>
    <col min="5" max="5" width="12.42578125" customWidth="1"/>
    <col min="10" max="10" width="10.7109375" customWidth="1"/>
  </cols>
  <sheetData>
    <row r="1" spans="1:9" ht="15.75">
      <c r="A1" s="131" t="s">
        <v>320</v>
      </c>
      <c r="B1" s="132"/>
      <c r="C1" s="132"/>
      <c r="D1" s="132"/>
      <c r="E1" s="132"/>
      <c r="F1" s="132"/>
      <c r="G1" s="132"/>
      <c r="H1" s="132"/>
      <c r="I1" s="132"/>
    </row>
    <row r="2" spans="1:9" ht="14.25">
      <c r="A2" s="133"/>
      <c r="B2" s="133"/>
      <c r="C2" s="133"/>
      <c r="D2" s="133"/>
      <c r="E2" s="133"/>
      <c r="F2" s="133"/>
      <c r="G2" s="133"/>
      <c r="H2" s="133"/>
      <c r="I2" s="133"/>
    </row>
    <row r="3" spans="1:9" ht="15">
      <c r="A3" s="134" t="s">
        <v>321</v>
      </c>
      <c r="B3" s="133"/>
      <c r="C3" s="133"/>
      <c r="D3" s="133"/>
      <c r="E3" s="133"/>
      <c r="F3" s="133"/>
      <c r="G3" s="133"/>
      <c r="H3" s="133"/>
      <c r="I3" s="133"/>
    </row>
    <row r="4" spans="1:9" ht="15">
      <c r="A4" s="134" t="s">
        <v>324</v>
      </c>
      <c r="B4" s="133"/>
      <c r="C4" s="522"/>
      <c r="D4" s="133"/>
      <c r="E4" s="133"/>
      <c r="F4" s="133"/>
      <c r="G4" s="133"/>
      <c r="H4" s="133"/>
      <c r="I4" s="133"/>
    </row>
    <row r="5" spans="1:9" ht="14.25">
      <c r="A5" s="133" t="s">
        <v>321</v>
      </c>
      <c r="B5" s="133"/>
      <c r="C5" s="522"/>
      <c r="D5" s="133"/>
      <c r="E5" s="133"/>
      <c r="F5" s="133"/>
      <c r="G5" s="133"/>
      <c r="H5" s="133"/>
      <c r="I5" s="133"/>
    </row>
    <row r="6" spans="1:9" ht="14.25">
      <c r="A6" s="133" t="s">
        <v>947</v>
      </c>
      <c r="B6" s="133"/>
      <c r="C6" s="133"/>
      <c r="D6" s="133"/>
      <c r="E6" s="133"/>
      <c r="F6" s="133"/>
      <c r="G6" s="133"/>
      <c r="H6" s="133"/>
      <c r="I6" s="133"/>
    </row>
    <row r="7" spans="1:9" ht="14.25">
      <c r="A7" s="133" t="s">
        <v>948</v>
      </c>
      <c r="B7" s="133"/>
      <c r="C7" s="133"/>
      <c r="D7" s="133"/>
      <c r="E7" s="133" t="s">
        <v>956</v>
      </c>
      <c r="F7" s="133"/>
      <c r="G7" s="133"/>
      <c r="H7" s="133"/>
      <c r="I7" s="133"/>
    </row>
    <row r="8" spans="1:9" ht="14.25">
      <c r="A8" s="133" t="s">
        <v>949</v>
      </c>
      <c r="B8" s="133"/>
      <c r="C8" s="133"/>
      <c r="D8" s="133"/>
      <c r="E8" s="133" t="s">
        <v>322</v>
      </c>
      <c r="F8" s="133"/>
      <c r="G8" s="133"/>
      <c r="H8" s="133"/>
      <c r="I8" s="133"/>
    </row>
    <row r="9" spans="1:9" ht="15">
      <c r="A9" s="718"/>
      <c r="B9" s="522"/>
      <c r="C9" s="522"/>
      <c r="D9" s="133"/>
      <c r="E9" s="522" t="s">
        <v>323</v>
      </c>
      <c r="F9" s="133"/>
      <c r="G9" s="133"/>
      <c r="H9" s="133"/>
      <c r="I9" s="133"/>
    </row>
    <row r="10" spans="1:9" ht="14.25">
      <c r="A10" s="522"/>
      <c r="B10" s="522"/>
      <c r="C10" s="522"/>
      <c r="D10" s="133"/>
      <c r="E10" s="133" t="s">
        <v>945</v>
      </c>
      <c r="F10" s="133"/>
      <c r="G10" s="133"/>
      <c r="H10" s="133"/>
      <c r="I10" s="133"/>
    </row>
    <row r="11" spans="1:9" ht="15">
      <c r="A11" s="134"/>
      <c r="B11" s="133"/>
      <c r="C11" s="522"/>
      <c r="D11" s="133"/>
      <c r="E11" s="522" t="s">
        <v>946</v>
      </c>
      <c r="F11" s="133"/>
      <c r="G11" s="133"/>
      <c r="H11" s="133"/>
      <c r="I11" s="133"/>
    </row>
    <row r="12" spans="1:9" ht="14.25">
      <c r="A12" s="133"/>
      <c r="B12" s="133"/>
      <c r="C12" s="522"/>
      <c r="D12" s="133"/>
      <c r="E12" s="133"/>
      <c r="F12" s="133"/>
      <c r="G12" s="133"/>
      <c r="H12" s="133"/>
      <c r="I12" s="133"/>
    </row>
    <row r="13" spans="1:9" ht="14.25">
      <c r="A13" s="133" t="s">
        <v>955</v>
      </c>
      <c r="B13" s="133"/>
      <c r="C13" s="133"/>
      <c r="D13" s="133"/>
      <c r="H13" s="133"/>
      <c r="I13" s="133"/>
    </row>
    <row r="14" spans="1:9" ht="14.25">
      <c r="A14" s="133" t="s">
        <v>321</v>
      </c>
      <c r="B14" s="133"/>
      <c r="C14" s="133"/>
      <c r="D14" s="133"/>
      <c r="H14" s="133"/>
      <c r="I14" s="133"/>
    </row>
    <row r="15" spans="1:9" ht="14.25">
      <c r="A15" s="133" t="s">
        <v>325</v>
      </c>
      <c r="B15" s="133"/>
      <c r="C15" s="133"/>
      <c r="D15" s="133"/>
      <c r="H15" s="133"/>
      <c r="I15" s="133"/>
    </row>
    <row r="16" spans="1:9" ht="14.25">
      <c r="A16" s="133"/>
      <c r="B16" s="133"/>
      <c r="C16" s="133"/>
      <c r="D16" s="133"/>
      <c r="E16" s="133"/>
      <c r="F16" s="133"/>
      <c r="G16" s="133"/>
      <c r="H16" s="133"/>
      <c r="I16" s="133"/>
    </row>
    <row r="17" spans="1:9" ht="14.25">
      <c r="A17" s="136" t="s">
        <v>326</v>
      </c>
      <c r="B17" s="133"/>
      <c r="C17" s="133"/>
      <c r="D17" s="133"/>
      <c r="E17" s="133"/>
      <c r="F17" s="133"/>
      <c r="G17" s="133"/>
      <c r="H17" s="133"/>
      <c r="I17" s="133"/>
    </row>
    <row r="18" spans="1:9" ht="15" thickBot="1">
      <c r="A18" s="137"/>
      <c r="B18" s="137"/>
      <c r="C18" s="137"/>
      <c r="D18" s="137"/>
      <c r="E18" s="137"/>
      <c r="F18" s="137"/>
      <c r="G18" s="137"/>
      <c r="H18" s="137"/>
      <c r="I18" s="137"/>
    </row>
    <row r="19" spans="1:9" ht="15" thickTop="1">
      <c r="A19" s="135"/>
      <c r="B19" s="135"/>
      <c r="C19" s="135"/>
      <c r="D19" s="135"/>
      <c r="E19" s="135"/>
      <c r="F19" s="135"/>
      <c r="G19" s="135"/>
      <c r="H19" s="135"/>
      <c r="I19" s="135"/>
    </row>
    <row r="20" spans="1:9" ht="14.25">
      <c r="A20" s="828"/>
    </row>
    <row r="21" spans="1:9" ht="14.25">
      <c r="A21" s="828"/>
      <c r="E21" s="523"/>
    </row>
    <row r="22" spans="1:9" ht="14.25">
      <c r="A22" s="828"/>
    </row>
    <row r="23" spans="1:9" ht="14.25">
      <c r="A23" s="828"/>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X110"/>
  <sheetViews>
    <sheetView zoomScaleNormal="100" workbookViewId="0"/>
  </sheetViews>
  <sheetFormatPr defaultColWidth="12.42578125" defaultRowHeight="15"/>
  <cols>
    <col min="1" max="1" width="43.85546875" style="293" customWidth="1"/>
    <col min="2" max="3" width="19.7109375" style="293" customWidth="1"/>
    <col min="4" max="4" width="6.85546875" style="288" customWidth="1"/>
    <col min="5" max="5" width="11.7109375" style="293" bestFit="1" customWidth="1"/>
    <col min="6" max="6" width="12.42578125" style="293" customWidth="1"/>
    <col min="7" max="7" width="24" style="293" customWidth="1"/>
    <col min="8" max="8" width="27.85546875" style="293" customWidth="1"/>
    <col min="9" max="9" width="12.42578125" style="293" customWidth="1"/>
    <col min="10" max="10" width="9.140625" style="328" customWidth="1"/>
    <col min="11" max="11" width="22.42578125" style="927" bestFit="1" customWidth="1"/>
    <col min="12" max="12" width="13.7109375" style="927" customWidth="1"/>
    <col min="13" max="13" width="9.5703125" style="927" customWidth="1"/>
    <col min="14" max="14" width="17.28515625" style="927" customWidth="1"/>
    <col min="15" max="15" width="10" style="927" customWidth="1"/>
    <col min="16" max="16" width="9.7109375" style="927" customWidth="1"/>
    <col min="17" max="17" width="8.5703125" style="927" customWidth="1"/>
    <col min="18" max="18" width="8" style="927" customWidth="1"/>
    <col min="19" max="19" width="8.28515625" style="927" customWidth="1"/>
    <col min="20" max="20" width="6.5703125" style="927" bestFit="1" customWidth="1"/>
    <col min="21" max="21" width="7.7109375" style="304" customWidth="1"/>
    <col min="22" max="23" width="6.5703125" style="304" bestFit="1" customWidth="1"/>
    <col min="24" max="24" width="8.28515625" style="293" customWidth="1"/>
    <col min="25" max="25" width="7.7109375" style="293" bestFit="1" customWidth="1"/>
    <col min="26" max="16384" width="12.42578125" style="293"/>
  </cols>
  <sheetData>
    <row r="1" spans="1:231" ht="18">
      <c r="A1" s="286" t="s">
        <v>1002</v>
      </c>
      <c r="B1" s="287"/>
      <c r="C1" s="287"/>
      <c r="E1" s="289"/>
      <c r="F1" s="290"/>
      <c r="G1" s="290"/>
      <c r="H1" s="290"/>
      <c r="I1" s="290"/>
      <c r="J1" s="288"/>
      <c r="K1" s="984"/>
      <c r="L1" s="566"/>
      <c r="M1" s="566"/>
      <c r="N1" s="566"/>
      <c r="O1" s="566"/>
      <c r="P1" s="566"/>
      <c r="Q1" s="566"/>
      <c r="R1" s="566"/>
      <c r="S1" s="566"/>
      <c r="T1" s="566"/>
      <c r="U1" s="566"/>
      <c r="V1" s="973"/>
      <c r="W1" s="973"/>
      <c r="X1" s="973"/>
      <c r="Y1" s="973"/>
      <c r="Z1" s="973"/>
      <c r="AA1" s="973"/>
      <c r="AB1" s="973"/>
      <c r="AC1" s="973"/>
      <c r="AD1" s="973"/>
      <c r="AE1" s="973"/>
      <c r="AF1" s="973"/>
      <c r="AG1" s="973"/>
      <c r="AH1" s="973"/>
      <c r="AI1" s="973"/>
      <c r="AJ1" s="973"/>
      <c r="AK1" s="973"/>
      <c r="AL1" s="973"/>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92"/>
      <c r="FH1" s="292"/>
      <c r="FI1" s="292"/>
      <c r="FJ1" s="292"/>
      <c r="FK1" s="292"/>
      <c r="FL1" s="292"/>
      <c r="FM1" s="292"/>
      <c r="FN1" s="292"/>
      <c r="FO1" s="292"/>
      <c r="FP1" s="292"/>
      <c r="FQ1" s="292"/>
      <c r="FR1" s="292"/>
      <c r="FS1" s="292"/>
      <c r="FT1" s="292"/>
      <c r="FU1" s="292"/>
      <c r="FV1" s="292"/>
      <c r="FW1" s="292"/>
      <c r="FX1" s="292"/>
      <c r="FY1" s="292"/>
      <c r="FZ1" s="292"/>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2"/>
      <c r="HA1" s="292"/>
      <c r="HB1" s="292"/>
      <c r="HC1" s="292"/>
      <c r="HD1" s="292"/>
      <c r="HE1" s="292"/>
      <c r="HF1" s="292"/>
      <c r="HG1" s="292"/>
      <c r="HH1" s="292"/>
      <c r="HI1" s="292"/>
      <c r="HJ1" s="292"/>
      <c r="HK1" s="292"/>
      <c r="HL1" s="292"/>
      <c r="HM1" s="292"/>
      <c r="HN1" s="292"/>
      <c r="HO1" s="292"/>
      <c r="HP1" s="292"/>
      <c r="HQ1" s="292"/>
      <c r="HR1" s="292"/>
      <c r="HS1" s="292"/>
      <c r="HT1" s="292"/>
      <c r="HU1" s="292"/>
      <c r="HV1" s="292"/>
    </row>
    <row r="2" spans="1:231" ht="18">
      <c r="A2" s="286" t="s">
        <v>336</v>
      </c>
      <c r="B2" s="287"/>
      <c r="C2" s="287"/>
      <c r="E2" s="289"/>
      <c r="F2" s="290"/>
      <c r="G2" s="290"/>
      <c r="H2" s="290"/>
      <c r="I2" s="290"/>
      <c r="J2" s="288"/>
      <c r="K2" s="1267"/>
      <c r="L2" s="1268">
        <v>2013</v>
      </c>
      <c r="M2" s="1268">
        <v>2014</v>
      </c>
      <c r="N2" s="1268">
        <v>2015</v>
      </c>
      <c r="O2" s="1268">
        <v>2016</v>
      </c>
      <c r="P2" s="1268">
        <v>2017</v>
      </c>
      <c r="Q2" s="1268">
        <v>2018</v>
      </c>
      <c r="R2" s="1268">
        <v>2019</v>
      </c>
      <c r="S2" s="1268">
        <v>2020</v>
      </c>
      <c r="T2" s="981"/>
      <c r="U2" s="982"/>
      <c r="V2" s="982"/>
      <c r="W2" s="982"/>
      <c r="X2" s="982"/>
      <c r="Y2" s="982"/>
      <c r="Z2" s="982"/>
      <c r="AA2" s="974"/>
      <c r="AB2" s="973"/>
      <c r="AC2" s="973"/>
      <c r="AD2" s="973"/>
      <c r="AE2" s="973"/>
      <c r="AF2" s="973"/>
      <c r="AG2" s="973"/>
      <c r="AH2" s="973"/>
      <c r="AI2" s="973"/>
      <c r="AJ2" s="973"/>
      <c r="AK2" s="973"/>
      <c r="AL2" s="973"/>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92"/>
      <c r="FV2" s="292"/>
      <c r="FW2" s="292"/>
      <c r="FX2" s="292"/>
      <c r="FY2" s="292"/>
      <c r="FZ2" s="292"/>
      <c r="GA2" s="292"/>
      <c r="GB2" s="292"/>
      <c r="GC2" s="292"/>
      <c r="GD2" s="292"/>
      <c r="GE2" s="292"/>
      <c r="GF2" s="292"/>
      <c r="GG2" s="292"/>
      <c r="GH2" s="292"/>
      <c r="GI2" s="292"/>
      <c r="GJ2" s="292"/>
      <c r="GK2" s="292"/>
      <c r="GL2" s="292"/>
      <c r="GM2" s="292"/>
      <c r="GN2" s="292"/>
      <c r="GO2" s="292"/>
      <c r="GP2" s="292"/>
      <c r="GQ2" s="292"/>
      <c r="GR2" s="292"/>
      <c r="GS2" s="292"/>
      <c r="GT2" s="292"/>
      <c r="GU2" s="292"/>
      <c r="GV2" s="292"/>
      <c r="GW2" s="292"/>
      <c r="GX2" s="292"/>
      <c r="GY2" s="292"/>
      <c r="GZ2" s="292"/>
      <c r="HA2" s="292"/>
      <c r="HB2" s="292"/>
      <c r="HC2" s="292"/>
      <c r="HD2" s="292"/>
      <c r="HE2" s="292"/>
      <c r="HF2" s="292"/>
      <c r="HG2" s="292"/>
      <c r="HH2" s="292"/>
      <c r="HI2" s="292"/>
      <c r="HJ2" s="292"/>
      <c r="HK2" s="292"/>
      <c r="HL2" s="292"/>
      <c r="HM2" s="292"/>
      <c r="HN2" s="292"/>
      <c r="HO2" s="292"/>
      <c r="HP2" s="292"/>
      <c r="HQ2" s="292"/>
      <c r="HR2" s="292"/>
      <c r="HS2" s="292"/>
      <c r="HT2" s="292"/>
      <c r="HU2" s="292"/>
      <c r="HV2" s="292"/>
    </row>
    <row r="3" spans="1:231" ht="15" customHeight="1">
      <c r="A3" s="465"/>
      <c r="B3" s="290"/>
      <c r="C3" s="290"/>
      <c r="E3" s="294" t="s">
        <v>1152</v>
      </c>
      <c r="F3" s="290"/>
      <c r="G3" s="290"/>
      <c r="H3" s="290"/>
      <c r="I3" s="290"/>
      <c r="J3" s="288"/>
      <c r="K3" s="1269" t="s">
        <v>3</v>
      </c>
      <c r="L3" s="1270">
        <v>11.339964999999999</v>
      </c>
      <c r="M3" s="1270">
        <v>11.253348000000001</v>
      </c>
      <c r="N3" s="1270">
        <v>12.328675</v>
      </c>
      <c r="O3" s="1270">
        <v>12.555624</v>
      </c>
      <c r="P3" s="1270">
        <v>13.052887</v>
      </c>
      <c r="Q3" s="1270">
        <v>14.105765999999999</v>
      </c>
      <c r="R3" s="1270">
        <v>15.226471</v>
      </c>
      <c r="S3" s="1270">
        <f>C9/1000000000</f>
        <v>15.351592</v>
      </c>
      <c r="T3" s="983"/>
      <c r="U3" s="982"/>
      <c r="V3" s="982"/>
      <c r="W3" s="982"/>
      <c r="X3" s="982"/>
      <c r="Y3" s="982"/>
      <c r="Z3" s="982"/>
      <c r="AA3" s="974"/>
      <c r="AB3" s="973"/>
      <c r="AC3" s="973"/>
      <c r="AD3" s="973"/>
      <c r="AE3" s="973"/>
      <c r="AF3" s="973"/>
      <c r="AG3" s="973"/>
      <c r="AH3" s="973"/>
      <c r="AI3" s="973"/>
      <c r="AJ3" s="973"/>
      <c r="AK3" s="973"/>
      <c r="AL3" s="973"/>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c r="DV3" s="292"/>
      <c r="DW3" s="292"/>
      <c r="DX3" s="292"/>
      <c r="DY3" s="292"/>
      <c r="DZ3" s="292"/>
      <c r="EA3" s="292"/>
      <c r="EB3" s="292"/>
      <c r="EC3" s="292"/>
      <c r="ED3" s="292"/>
      <c r="EE3" s="292"/>
      <c r="EF3" s="292"/>
      <c r="EG3" s="292"/>
      <c r="EH3" s="292"/>
      <c r="EI3" s="292"/>
      <c r="EJ3" s="292"/>
      <c r="EK3" s="292"/>
      <c r="EL3" s="292"/>
      <c r="EM3" s="292"/>
      <c r="EN3" s="292"/>
      <c r="EO3" s="292"/>
      <c r="EP3" s="292"/>
      <c r="EQ3" s="292"/>
      <c r="ER3" s="292"/>
      <c r="ES3" s="292"/>
      <c r="ET3" s="292"/>
      <c r="EU3" s="292"/>
      <c r="EV3" s="292"/>
      <c r="EW3" s="292"/>
      <c r="EX3" s="292"/>
      <c r="EY3" s="292"/>
      <c r="EZ3" s="292"/>
      <c r="FA3" s="292"/>
      <c r="FB3" s="292"/>
      <c r="FC3" s="292"/>
      <c r="FD3" s="292"/>
      <c r="FE3" s="292"/>
      <c r="FF3" s="292"/>
      <c r="FG3" s="292"/>
      <c r="FH3" s="292"/>
      <c r="FI3" s="292"/>
      <c r="FJ3" s="292"/>
      <c r="FK3" s="292"/>
      <c r="FL3" s="292"/>
      <c r="FM3" s="292"/>
      <c r="FN3" s="292"/>
      <c r="FO3" s="292"/>
      <c r="FP3" s="292"/>
      <c r="FQ3" s="292"/>
      <c r="FR3" s="292"/>
      <c r="FS3" s="292"/>
      <c r="FT3" s="292"/>
      <c r="FU3" s="292"/>
      <c r="FV3" s="292"/>
      <c r="FW3" s="292"/>
      <c r="FX3" s="292"/>
      <c r="FY3" s="292"/>
      <c r="FZ3" s="292"/>
      <c r="GA3" s="292"/>
      <c r="GB3" s="292"/>
      <c r="GC3" s="292"/>
      <c r="GD3" s="292"/>
      <c r="GE3" s="292"/>
      <c r="GF3" s="292"/>
      <c r="GG3" s="292"/>
      <c r="GH3" s="292"/>
      <c r="GI3" s="292"/>
      <c r="GJ3" s="292"/>
      <c r="GK3" s="292"/>
      <c r="GL3" s="292"/>
      <c r="GM3" s="292"/>
      <c r="GN3" s="292"/>
      <c r="GO3" s="292"/>
      <c r="GP3" s="292"/>
      <c r="GQ3" s="292"/>
      <c r="GR3" s="292"/>
      <c r="GS3" s="292"/>
      <c r="GT3" s="292"/>
      <c r="GU3" s="292"/>
      <c r="GV3" s="292"/>
      <c r="GW3" s="292"/>
      <c r="GX3" s="292"/>
      <c r="GY3" s="292"/>
      <c r="GZ3" s="292"/>
      <c r="HA3" s="292"/>
      <c r="HB3" s="292"/>
      <c r="HC3" s="292"/>
      <c r="HD3" s="292"/>
      <c r="HE3" s="292"/>
      <c r="HF3" s="292"/>
      <c r="HG3" s="292"/>
      <c r="HH3" s="292"/>
      <c r="HI3" s="292"/>
      <c r="HJ3" s="292"/>
      <c r="HK3" s="292"/>
      <c r="HL3" s="292"/>
      <c r="HM3" s="292"/>
      <c r="HN3" s="292"/>
      <c r="HO3" s="292"/>
      <c r="HP3" s="292"/>
      <c r="HQ3" s="292"/>
      <c r="HR3" s="292"/>
      <c r="HS3" s="292"/>
      <c r="HT3" s="292"/>
      <c r="HU3" s="292"/>
      <c r="HV3" s="292"/>
    </row>
    <row r="4" spans="1:231" ht="15" customHeight="1">
      <c r="A4" s="295" t="s">
        <v>337</v>
      </c>
      <c r="B4" s="17" t="s">
        <v>1047</v>
      </c>
      <c r="C4" s="17" t="s">
        <v>1151</v>
      </c>
      <c r="E4" s="296" t="s">
        <v>334</v>
      </c>
      <c r="F4" s="297"/>
      <c r="G4" s="297"/>
      <c r="H4" s="297"/>
      <c r="I4" s="297"/>
      <c r="J4" s="288"/>
      <c r="K4" s="1269" t="s">
        <v>2</v>
      </c>
      <c r="L4" s="1270">
        <v>3.2197979999999999</v>
      </c>
      <c r="M4" s="1270">
        <v>3.0664560000000001</v>
      </c>
      <c r="N4" s="1270">
        <v>3.2354440000000002</v>
      </c>
      <c r="O4" s="1270">
        <v>3.2958530000000001</v>
      </c>
      <c r="P4" s="1270">
        <v>3.3545609999999999</v>
      </c>
      <c r="Q4" s="1270">
        <v>3.4582489999999999</v>
      </c>
      <c r="R4" s="1270">
        <v>3.580355</v>
      </c>
      <c r="S4" s="1270">
        <f>C13/1000000000</f>
        <v>3.706817</v>
      </c>
      <c r="T4" s="983"/>
      <c r="U4" s="982"/>
      <c r="V4" s="982"/>
      <c r="W4" s="982"/>
      <c r="X4" s="982"/>
      <c r="Y4" s="982"/>
      <c r="Z4" s="982"/>
      <c r="AA4" s="974"/>
      <c r="AB4" s="973"/>
      <c r="AC4" s="973"/>
      <c r="AD4" s="973"/>
      <c r="AE4" s="973"/>
      <c r="AF4" s="973"/>
      <c r="AG4" s="973"/>
      <c r="AH4" s="973"/>
      <c r="AI4" s="973"/>
      <c r="AJ4" s="973"/>
      <c r="AK4" s="973"/>
      <c r="AL4" s="973"/>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c r="DM4" s="292"/>
      <c r="DN4" s="292"/>
      <c r="DO4" s="292"/>
      <c r="DP4" s="292"/>
      <c r="DQ4" s="292"/>
      <c r="DR4" s="292"/>
      <c r="DS4" s="292"/>
      <c r="DT4" s="292"/>
      <c r="DU4" s="292"/>
      <c r="DV4" s="292"/>
      <c r="DW4" s="292"/>
      <c r="DX4" s="292"/>
      <c r="DY4" s="292"/>
      <c r="DZ4" s="292"/>
      <c r="EA4" s="292"/>
      <c r="EB4" s="292"/>
      <c r="EC4" s="292"/>
      <c r="ED4" s="292"/>
      <c r="EE4" s="292"/>
      <c r="EF4" s="292"/>
      <c r="EG4" s="292"/>
      <c r="EH4" s="292"/>
      <c r="EI4" s="292"/>
      <c r="EJ4" s="292"/>
      <c r="EK4" s="292"/>
      <c r="EL4" s="292"/>
      <c r="EM4" s="292"/>
      <c r="EN4" s="292"/>
      <c r="EO4" s="292"/>
      <c r="EP4" s="292"/>
      <c r="EQ4" s="292"/>
      <c r="ER4" s="292"/>
      <c r="ES4" s="292"/>
      <c r="ET4" s="292"/>
      <c r="EU4" s="292"/>
      <c r="EV4" s="292"/>
      <c r="EW4" s="292"/>
      <c r="EX4" s="292"/>
      <c r="EY4" s="292"/>
      <c r="EZ4" s="292"/>
      <c r="FA4" s="292"/>
      <c r="FB4" s="292"/>
      <c r="FC4" s="292"/>
      <c r="FD4" s="292"/>
      <c r="FE4" s="292"/>
      <c r="FF4" s="292"/>
      <c r="FG4" s="292"/>
      <c r="FH4" s="292"/>
      <c r="FI4" s="292"/>
      <c r="FJ4" s="292"/>
      <c r="FK4" s="292"/>
      <c r="FL4" s="292"/>
      <c r="FM4" s="292"/>
      <c r="FN4" s="292"/>
      <c r="FO4" s="292"/>
      <c r="FP4" s="292"/>
      <c r="FQ4" s="292"/>
      <c r="FR4" s="292"/>
      <c r="FS4" s="292"/>
      <c r="FT4" s="292"/>
      <c r="FU4" s="292"/>
      <c r="FV4" s="292"/>
      <c r="FW4" s="292"/>
      <c r="FX4" s="292"/>
      <c r="FY4" s="292"/>
      <c r="FZ4" s="292"/>
      <c r="GA4" s="292"/>
      <c r="GB4" s="292"/>
      <c r="GC4" s="292"/>
      <c r="GD4" s="292"/>
      <c r="GE4" s="292"/>
      <c r="GF4" s="292"/>
      <c r="GG4" s="292"/>
      <c r="GH4" s="292"/>
      <c r="GI4" s="292"/>
      <c r="GJ4" s="292"/>
      <c r="GK4" s="292"/>
      <c r="GL4" s="292"/>
      <c r="GM4" s="292"/>
      <c r="GN4" s="292"/>
      <c r="GO4" s="292"/>
      <c r="GP4" s="292"/>
      <c r="GQ4" s="292"/>
      <c r="GR4" s="292"/>
      <c r="GS4" s="292"/>
      <c r="GT4" s="292"/>
      <c r="GU4" s="292"/>
      <c r="GV4" s="292"/>
      <c r="GW4" s="292"/>
      <c r="GX4" s="292"/>
      <c r="GY4" s="292"/>
      <c r="GZ4" s="292"/>
      <c r="HA4" s="292"/>
      <c r="HB4" s="292"/>
      <c r="HC4" s="292"/>
      <c r="HD4" s="292"/>
      <c r="HE4" s="292"/>
      <c r="HF4" s="292"/>
      <c r="HG4" s="292"/>
      <c r="HH4" s="292"/>
      <c r="HI4" s="292"/>
      <c r="HJ4" s="292"/>
      <c r="HK4" s="292"/>
      <c r="HL4" s="292"/>
      <c r="HM4" s="292"/>
      <c r="HN4" s="292"/>
      <c r="HO4" s="292"/>
      <c r="HP4" s="292"/>
      <c r="HQ4" s="292"/>
      <c r="HR4" s="292"/>
      <c r="HS4" s="292"/>
      <c r="HT4" s="292"/>
      <c r="HU4" s="292"/>
      <c r="HV4" s="292"/>
    </row>
    <row r="5" spans="1:231" ht="14.1" customHeight="1">
      <c r="A5" s="481"/>
      <c r="B5" s="298"/>
      <c r="C5" s="298"/>
      <c r="E5" s="296" t="s">
        <v>335</v>
      </c>
      <c r="F5" s="297"/>
      <c r="G5" s="297"/>
      <c r="H5" s="297"/>
      <c r="I5" s="297"/>
      <c r="J5" s="288"/>
      <c r="K5" s="984"/>
      <c r="L5" s="566"/>
      <c r="M5" s="566"/>
      <c r="N5" s="566"/>
      <c r="O5" s="566"/>
      <c r="P5" s="819"/>
      <c r="Q5" s="566"/>
      <c r="R5" s="566"/>
      <c r="S5" s="566"/>
      <c r="T5" s="566"/>
      <c r="U5" s="566"/>
      <c r="V5" s="566"/>
      <c r="W5" s="566"/>
      <c r="X5" s="566"/>
      <c r="Y5" s="566"/>
      <c r="Z5" s="566"/>
      <c r="AA5" s="566"/>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292"/>
      <c r="DK5" s="292"/>
      <c r="DL5" s="292"/>
      <c r="DM5" s="292"/>
      <c r="DN5" s="292"/>
      <c r="DO5" s="292"/>
      <c r="DP5" s="292"/>
      <c r="DQ5" s="292"/>
      <c r="DR5" s="292"/>
      <c r="DS5" s="292"/>
      <c r="DT5" s="292"/>
      <c r="DU5" s="292"/>
      <c r="DV5" s="292"/>
      <c r="DW5" s="292"/>
      <c r="DX5" s="292"/>
      <c r="DY5" s="292"/>
      <c r="DZ5" s="292"/>
      <c r="EA5" s="292"/>
      <c r="EB5" s="292"/>
      <c r="EC5" s="292"/>
      <c r="ED5" s="292"/>
      <c r="EE5" s="292"/>
      <c r="EF5" s="292"/>
      <c r="EG5" s="292"/>
      <c r="EH5" s="292"/>
      <c r="EI5" s="292"/>
      <c r="EJ5" s="292"/>
      <c r="EK5" s="292"/>
      <c r="EL5" s="292"/>
      <c r="EM5" s="292"/>
      <c r="EN5" s="292"/>
      <c r="EO5" s="292"/>
      <c r="EP5" s="292"/>
      <c r="EQ5" s="292"/>
      <c r="ER5" s="292"/>
      <c r="ES5" s="292"/>
      <c r="ET5" s="292"/>
      <c r="EU5" s="292"/>
      <c r="EV5" s="292"/>
      <c r="EW5" s="292"/>
      <c r="EX5" s="292"/>
      <c r="EY5" s="292"/>
      <c r="EZ5" s="292"/>
      <c r="FA5" s="292"/>
      <c r="FB5" s="292"/>
      <c r="FC5" s="292"/>
      <c r="FD5" s="292"/>
      <c r="FE5" s="292"/>
      <c r="FF5" s="292"/>
      <c r="FG5" s="292"/>
      <c r="FH5" s="292"/>
      <c r="FI5" s="292"/>
      <c r="FJ5" s="292"/>
      <c r="FK5" s="292"/>
      <c r="FL5" s="292"/>
      <c r="FM5" s="292"/>
      <c r="FN5" s="292"/>
      <c r="FO5" s="292"/>
      <c r="FP5" s="292"/>
      <c r="FQ5" s="292"/>
      <c r="FR5" s="292"/>
      <c r="FS5" s="292"/>
      <c r="FT5" s="292"/>
      <c r="FU5" s="292"/>
      <c r="FV5" s="292"/>
      <c r="FW5" s="292"/>
      <c r="FX5" s="292"/>
      <c r="FY5" s="292"/>
      <c r="FZ5" s="292"/>
      <c r="GA5" s="292"/>
      <c r="GB5" s="292"/>
      <c r="GC5" s="292"/>
      <c r="GD5" s="292"/>
      <c r="GE5" s="292"/>
      <c r="GF5" s="292"/>
      <c r="GG5" s="292"/>
      <c r="GH5" s="292"/>
      <c r="GI5" s="292"/>
      <c r="GJ5" s="292"/>
      <c r="GK5" s="292"/>
      <c r="GL5" s="292"/>
      <c r="GM5" s="292"/>
      <c r="GN5" s="292"/>
      <c r="GO5" s="292"/>
      <c r="GP5" s="292"/>
      <c r="GQ5" s="292"/>
      <c r="GR5" s="292"/>
      <c r="GS5" s="292"/>
      <c r="GT5" s="292"/>
      <c r="GU5" s="292"/>
      <c r="GV5" s="292"/>
      <c r="GW5" s="292"/>
      <c r="GX5" s="292"/>
      <c r="GY5" s="292"/>
      <c r="GZ5" s="292"/>
      <c r="HA5" s="292"/>
      <c r="HB5" s="292"/>
      <c r="HC5" s="292"/>
      <c r="HD5" s="292"/>
      <c r="HE5" s="292"/>
      <c r="HF5" s="292"/>
      <c r="HG5" s="292"/>
      <c r="HH5" s="292"/>
      <c r="HI5" s="292"/>
      <c r="HJ5" s="292"/>
      <c r="HK5" s="292"/>
      <c r="HL5" s="292"/>
      <c r="HM5" s="292"/>
      <c r="HN5" s="292"/>
      <c r="HO5" s="292"/>
      <c r="HP5" s="292"/>
      <c r="HQ5" s="292"/>
      <c r="HR5" s="292"/>
      <c r="HS5" s="292"/>
      <c r="HT5" s="292"/>
      <c r="HU5" s="292"/>
      <c r="HV5" s="292"/>
      <c r="HW5" s="292"/>
    </row>
    <row r="6" spans="1:231" ht="14.1" customHeight="1">
      <c r="A6" s="295" t="s">
        <v>338</v>
      </c>
      <c r="B6" s="299"/>
      <c r="C6" s="299"/>
      <c r="E6" s="289"/>
      <c r="F6" s="288"/>
      <c r="G6" s="288"/>
      <c r="H6" s="288"/>
      <c r="I6" s="288"/>
      <c r="J6" s="288"/>
      <c r="K6" s="984"/>
      <c r="L6" s="566"/>
      <c r="M6" s="566"/>
      <c r="N6" s="566"/>
      <c r="O6" s="566"/>
      <c r="P6" s="566"/>
      <c r="Q6" s="566"/>
      <c r="R6" s="566"/>
      <c r="S6" s="566"/>
      <c r="T6" s="566"/>
      <c r="U6" s="566"/>
      <c r="V6" s="566"/>
      <c r="W6" s="566"/>
      <c r="X6" s="566"/>
      <c r="Y6" s="566"/>
      <c r="Z6" s="566"/>
      <c r="AA6" s="486"/>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2"/>
      <c r="CW6" s="292"/>
      <c r="CX6" s="292"/>
      <c r="CY6" s="292"/>
      <c r="CZ6" s="292"/>
      <c r="DA6" s="292"/>
      <c r="DB6" s="292"/>
      <c r="DC6" s="292"/>
      <c r="DD6" s="292"/>
      <c r="DE6" s="292"/>
      <c r="DF6" s="292"/>
      <c r="DG6" s="292"/>
      <c r="DH6" s="292"/>
      <c r="DI6" s="292"/>
      <c r="DJ6" s="292"/>
      <c r="DK6" s="292"/>
      <c r="DL6" s="292"/>
      <c r="DM6" s="292"/>
      <c r="DN6" s="292"/>
      <c r="DO6" s="292"/>
      <c r="DP6" s="292"/>
      <c r="DQ6" s="292"/>
      <c r="DR6" s="292"/>
      <c r="DS6" s="292"/>
      <c r="DT6" s="292"/>
      <c r="DU6" s="292"/>
      <c r="DV6" s="292"/>
      <c r="DW6" s="292"/>
      <c r="DX6" s="292"/>
      <c r="DY6" s="292"/>
      <c r="DZ6" s="292"/>
      <c r="EA6" s="292"/>
      <c r="EB6" s="292"/>
      <c r="EC6" s="292"/>
      <c r="ED6" s="292"/>
      <c r="EE6" s="292"/>
      <c r="EF6" s="292"/>
      <c r="EG6" s="292"/>
      <c r="EH6" s="292"/>
      <c r="EI6" s="292"/>
      <c r="EJ6" s="292"/>
      <c r="EK6" s="292"/>
      <c r="EL6" s="292"/>
      <c r="EM6" s="292"/>
      <c r="EN6" s="292"/>
      <c r="EO6" s="292"/>
      <c r="EP6" s="292"/>
      <c r="EQ6" s="292"/>
      <c r="ER6" s="292"/>
      <c r="ES6" s="292"/>
      <c r="ET6" s="292"/>
      <c r="EU6" s="292"/>
      <c r="EV6" s="292"/>
      <c r="EW6" s="292"/>
      <c r="EX6" s="292"/>
      <c r="EY6" s="292"/>
      <c r="EZ6" s="292"/>
      <c r="FA6" s="292"/>
      <c r="FB6" s="292"/>
      <c r="FC6" s="292"/>
      <c r="FD6" s="292"/>
      <c r="FE6" s="292"/>
      <c r="FF6" s="292"/>
      <c r="FG6" s="292"/>
      <c r="FH6" s="292"/>
      <c r="FI6" s="292"/>
      <c r="FJ6" s="292"/>
      <c r="FK6" s="292"/>
      <c r="FL6" s="292"/>
      <c r="FM6" s="292"/>
      <c r="FN6" s="292"/>
      <c r="FO6" s="292"/>
      <c r="FP6" s="292"/>
      <c r="FQ6" s="292"/>
      <c r="FR6" s="292"/>
      <c r="FS6" s="292"/>
      <c r="FT6" s="292"/>
      <c r="FU6" s="292"/>
      <c r="FV6" s="292"/>
      <c r="FW6" s="292"/>
      <c r="FX6" s="292"/>
      <c r="FY6" s="292"/>
      <c r="FZ6" s="292"/>
      <c r="GA6" s="292"/>
      <c r="GB6" s="292"/>
      <c r="GC6" s="292"/>
      <c r="GD6" s="292"/>
      <c r="GE6" s="292"/>
      <c r="GF6" s="292"/>
      <c r="GG6" s="292"/>
      <c r="GH6" s="292"/>
      <c r="GI6" s="292"/>
      <c r="GJ6" s="292"/>
      <c r="GK6" s="292"/>
      <c r="GL6" s="292"/>
      <c r="GM6" s="292"/>
      <c r="GN6" s="292"/>
      <c r="GO6" s="292"/>
      <c r="GP6" s="292"/>
      <c r="GQ6" s="292"/>
      <c r="GR6" s="292"/>
      <c r="GS6" s="292"/>
      <c r="GT6" s="292"/>
      <c r="GU6" s="292"/>
      <c r="GV6" s="292"/>
      <c r="GW6" s="292"/>
      <c r="GX6" s="292"/>
      <c r="GY6" s="292"/>
      <c r="GZ6" s="292"/>
      <c r="HA6" s="292"/>
      <c r="HB6" s="292"/>
      <c r="HC6" s="292"/>
      <c r="HD6" s="292"/>
      <c r="HE6" s="292"/>
      <c r="HF6" s="292"/>
      <c r="HG6" s="292"/>
      <c r="HH6" s="292"/>
      <c r="HI6" s="292"/>
      <c r="HJ6" s="292"/>
      <c r="HK6" s="292"/>
      <c r="HL6" s="292"/>
      <c r="HM6" s="292"/>
      <c r="HN6" s="292"/>
      <c r="HO6" s="292"/>
      <c r="HP6" s="292"/>
      <c r="HQ6" s="292"/>
      <c r="HR6" s="292"/>
      <c r="HS6" s="292"/>
      <c r="HT6" s="292"/>
      <c r="HU6" s="292"/>
      <c r="HV6" s="292"/>
      <c r="HW6" s="292"/>
    </row>
    <row r="7" spans="1:231" ht="15.6" customHeight="1">
      <c r="A7" s="300" t="s">
        <v>1000</v>
      </c>
      <c r="B7" s="301">
        <v>29641000</v>
      </c>
      <c r="C7" s="463">
        <f>ROUND(25949061.0787417,-3)</f>
        <v>25949000</v>
      </c>
      <c r="E7" s="302">
        <f>(C7/B7)-1</f>
        <v>-0.12455720117404945</v>
      </c>
      <c r="F7" s="303"/>
      <c r="G7" s="288"/>
      <c r="H7" s="288"/>
      <c r="I7" s="288"/>
      <c r="J7" s="288"/>
      <c r="K7" s="925"/>
      <c r="L7" s="922"/>
      <c r="M7" s="926"/>
      <c r="N7" s="922"/>
      <c r="O7" s="922"/>
      <c r="P7" s="922"/>
      <c r="Q7" s="923"/>
      <c r="R7" s="923"/>
      <c r="S7" s="923"/>
      <c r="T7" s="923"/>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292"/>
      <c r="BS7" s="292"/>
      <c r="BT7" s="292"/>
      <c r="BU7" s="292"/>
      <c r="BV7" s="292"/>
      <c r="BW7" s="292"/>
      <c r="BX7" s="292"/>
      <c r="BY7" s="292"/>
      <c r="BZ7" s="292"/>
      <c r="CA7" s="292"/>
      <c r="CB7" s="292"/>
      <c r="CC7" s="292"/>
      <c r="CD7" s="292"/>
      <c r="CE7" s="292"/>
      <c r="CF7" s="292"/>
      <c r="CG7" s="292"/>
      <c r="CH7" s="292"/>
      <c r="CI7" s="292"/>
      <c r="CJ7" s="292"/>
      <c r="CK7" s="292"/>
      <c r="CL7" s="292"/>
      <c r="CM7" s="292"/>
      <c r="CN7" s="292"/>
      <c r="CO7" s="292"/>
      <c r="CP7" s="292"/>
      <c r="CQ7" s="292"/>
      <c r="CR7" s="292"/>
      <c r="CS7" s="292"/>
      <c r="CT7" s="292"/>
      <c r="CU7" s="292"/>
      <c r="CV7" s="292"/>
      <c r="CW7" s="292"/>
      <c r="CX7" s="292"/>
      <c r="CY7" s="292"/>
      <c r="CZ7" s="292"/>
      <c r="DA7" s="292"/>
      <c r="DB7" s="292"/>
      <c r="DC7" s="292"/>
      <c r="DD7" s="292"/>
      <c r="DE7" s="292"/>
      <c r="DF7" s="292"/>
      <c r="DG7" s="292"/>
      <c r="DH7" s="292"/>
      <c r="DI7" s="292"/>
      <c r="DJ7" s="292"/>
      <c r="DK7" s="292"/>
      <c r="DL7" s="292"/>
      <c r="DM7" s="292"/>
      <c r="DN7" s="292"/>
      <c r="DO7" s="292"/>
      <c r="DP7" s="292"/>
      <c r="DQ7" s="292"/>
      <c r="DR7" s="292"/>
      <c r="DS7" s="292"/>
      <c r="DT7" s="292"/>
      <c r="DU7" s="292"/>
      <c r="DV7" s="292"/>
      <c r="DW7" s="292"/>
      <c r="DX7" s="292"/>
      <c r="DY7" s="292"/>
      <c r="DZ7" s="292"/>
      <c r="EA7" s="292"/>
      <c r="EB7" s="292"/>
      <c r="EC7" s="292"/>
      <c r="ED7" s="292"/>
      <c r="EE7" s="292"/>
      <c r="EF7" s="292"/>
      <c r="EG7" s="292"/>
      <c r="EH7" s="292"/>
      <c r="EI7" s="292"/>
      <c r="EJ7" s="292"/>
      <c r="EK7" s="292"/>
      <c r="EL7" s="292"/>
      <c r="EM7" s="292"/>
      <c r="EN7" s="292"/>
      <c r="EO7" s="292"/>
      <c r="EP7" s="292"/>
      <c r="EQ7" s="292"/>
      <c r="ER7" s="292"/>
      <c r="ES7" s="292"/>
      <c r="ET7" s="292"/>
      <c r="EU7" s="292"/>
      <c r="EV7" s="292"/>
      <c r="EW7" s="292"/>
      <c r="EX7" s="292"/>
      <c r="EY7" s="292"/>
      <c r="EZ7" s="292"/>
      <c r="FA7" s="292"/>
      <c r="FB7" s="292"/>
      <c r="FC7" s="292"/>
      <c r="FD7" s="292"/>
      <c r="FE7" s="292"/>
      <c r="FF7" s="292"/>
      <c r="FG7" s="292"/>
      <c r="FH7" s="292"/>
      <c r="FI7" s="292"/>
      <c r="FJ7" s="292"/>
      <c r="FK7" s="292"/>
      <c r="FL7" s="292"/>
      <c r="FM7" s="292"/>
      <c r="FN7" s="292"/>
      <c r="FO7" s="292"/>
      <c r="FP7" s="292"/>
      <c r="FQ7" s="292"/>
      <c r="FR7" s="292"/>
      <c r="FS7" s="292"/>
      <c r="FT7" s="292"/>
      <c r="FU7" s="292"/>
      <c r="FV7" s="292"/>
      <c r="FW7" s="292"/>
      <c r="FX7" s="292"/>
      <c r="FY7" s="292"/>
      <c r="FZ7" s="292"/>
      <c r="GA7" s="292"/>
      <c r="GB7" s="292"/>
      <c r="GC7" s="292"/>
      <c r="GD7" s="292"/>
      <c r="GE7" s="292"/>
      <c r="GF7" s="292"/>
      <c r="GG7" s="292"/>
      <c r="GH7" s="292"/>
      <c r="GI7" s="292"/>
      <c r="GJ7" s="292"/>
      <c r="GK7" s="292"/>
      <c r="GL7" s="292"/>
      <c r="GM7" s="292"/>
      <c r="GN7" s="292"/>
      <c r="GO7" s="292"/>
      <c r="GP7" s="292"/>
      <c r="GQ7" s="292"/>
      <c r="GR7" s="292"/>
      <c r="GS7" s="292"/>
      <c r="GT7" s="292"/>
      <c r="GU7" s="292"/>
      <c r="GV7" s="292"/>
      <c r="GW7" s="292"/>
      <c r="GX7" s="292"/>
      <c r="GY7" s="292"/>
      <c r="GZ7" s="292"/>
      <c r="HA7" s="292"/>
      <c r="HB7" s="292"/>
      <c r="HC7" s="292"/>
      <c r="HD7" s="292"/>
      <c r="HE7" s="292"/>
      <c r="HF7" s="292"/>
      <c r="HG7" s="292"/>
      <c r="HH7" s="292"/>
      <c r="HI7" s="292"/>
      <c r="HJ7" s="292"/>
      <c r="HK7" s="292"/>
      <c r="HL7" s="292"/>
      <c r="HM7" s="292"/>
      <c r="HN7" s="292"/>
      <c r="HO7" s="292"/>
      <c r="HP7" s="292"/>
      <c r="HQ7" s="292"/>
      <c r="HR7" s="292"/>
      <c r="HS7" s="292"/>
      <c r="HT7" s="292"/>
      <c r="HU7" s="292"/>
      <c r="HV7" s="292"/>
      <c r="HW7" s="292"/>
    </row>
    <row r="8" spans="1:231" ht="15.6" customHeight="1">
      <c r="A8" s="300" t="s">
        <v>999</v>
      </c>
      <c r="B8" s="287">
        <v>943391000</v>
      </c>
      <c r="C8" s="287">
        <f>ROUND(1456048948.77-254758722.16-189640608.54,-3)</f>
        <v>1011650000</v>
      </c>
      <c r="E8" s="302">
        <f t="shared" ref="E8:E14" si="0">(C8/B8)-1</f>
        <v>7.2354940846372395E-2</v>
      </c>
      <c r="F8" s="303"/>
      <c r="G8" s="288"/>
      <c r="H8" s="288"/>
      <c r="I8" s="288"/>
      <c r="J8" s="288"/>
      <c r="K8" s="925"/>
      <c r="L8" s="922"/>
      <c r="M8" s="926"/>
      <c r="N8" s="922"/>
      <c r="O8" s="922"/>
      <c r="P8" s="922"/>
      <c r="Q8" s="924"/>
      <c r="R8" s="924"/>
      <c r="S8" s="924"/>
      <c r="T8" s="924"/>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c r="CN8" s="292"/>
      <c r="CO8" s="292"/>
      <c r="CP8" s="292"/>
      <c r="CQ8" s="292"/>
      <c r="CR8" s="292"/>
      <c r="CS8" s="292"/>
      <c r="CT8" s="292"/>
      <c r="CU8" s="292"/>
      <c r="CV8" s="292"/>
      <c r="CW8" s="292"/>
      <c r="CX8" s="292"/>
      <c r="CY8" s="292"/>
      <c r="CZ8" s="292"/>
      <c r="DA8" s="292"/>
      <c r="DB8" s="292"/>
      <c r="DC8" s="292"/>
      <c r="DD8" s="292"/>
      <c r="DE8" s="292"/>
      <c r="DF8" s="292"/>
      <c r="DG8" s="292"/>
      <c r="DH8" s="292"/>
      <c r="DI8" s="292"/>
      <c r="DJ8" s="292"/>
      <c r="DK8" s="292"/>
      <c r="DL8" s="292"/>
      <c r="DM8" s="292"/>
      <c r="DN8" s="292"/>
      <c r="DO8" s="292"/>
      <c r="DP8" s="292"/>
      <c r="DQ8" s="292"/>
      <c r="DR8" s="292"/>
      <c r="DS8" s="292"/>
      <c r="DT8" s="292"/>
      <c r="DU8" s="292"/>
      <c r="DV8" s="292"/>
      <c r="DW8" s="292"/>
      <c r="DX8" s="292"/>
      <c r="DY8" s="292"/>
      <c r="DZ8" s="292"/>
      <c r="EA8" s="292"/>
      <c r="EB8" s="292"/>
      <c r="EC8" s="292"/>
      <c r="ED8" s="292"/>
      <c r="EE8" s="292"/>
      <c r="EF8" s="292"/>
      <c r="EG8" s="292"/>
      <c r="EH8" s="292"/>
      <c r="EI8" s="292"/>
      <c r="EJ8" s="292"/>
      <c r="EK8" s="292"/>
      <c r="EL8" s="292"/>
      <c r="EM8" s="292"/>
      <c r="EN8" s="292"/>
      <c r="EO8" s="292"/>
      <c r="EP8" s="292"/>
      <c r="EQ8" s="292"/>
      <c r="ER8" s="292"/>
      <c r="ES8" s="292"/>
      <c r="ET8" s="292"/>
      <c r="EU8" s="292"/>
      <c r="EV8" s="292"/>
      <c r="EW8" s="292"/>
      <c r="EX8" s="292"/>
      <c r="EY8" s="292"/>
      <c r="EZ8" s="292"/>
      <c r="FA8" s="292"/>
      <c r="FB8" s="292"/>
      <c r="FC8" s="292"/>
      <c r="FD8" s="292"/>
      <c r="FE8" s="292"/>
      <c r="FF8" s="292"/>
      <c r="FG8" s="292"/>
      <c r="FH8" s="292"/>
      <c r="FI8" s="292"/>
      <c r="FJ8" s="292"/>
      <c r="FK8" s="292"/>
      <c r="FL8" s="292"/>
      <c r="FM8" s="292"/>
      <c r="FN8" s="292"/>
      <c r="FO8" s="292"/>
      <c r="FP8" s="292"/>
      <c r="FQ8" s="292"/>
      <c r="FR8" s="292"/>
      <c r="FS8" s="292"/>
      <c r="FT8" s="292"/>
      <c r="FU8" s="292"/>
      <c r="FV8" s="292"/>
      <c r="FW8" s="292"/>
      <c r="FX8" s="292"/>
      <c r="FY8" s="292"/>
      <c r="FZ8" s="292"/>
      <c r="GA8" s="292"/>
      <c r="GB8" s="292"/>
      <c r="GC8" s="292"/>
      <c r="GD8" s="292"/>
      <c r="GE8" s="292"/>
      <c r="GF8" s="292"/>
      <c r="GG8" s="292"/>
      <c r="GH8" s="292"/>
      <c r="GI8" s="292"/>
      <c r="GJ8" s="292"/>
      <c r="GK8" s="292"/>
      <c r="GL8" s="292"/>
      <c r="GM8" s="292"/>
      <c r="GN8" s="292"/>
      <c r="GO8" s="292"/>
      <c r="GP8" s="292"/>
      <c r="GQ8" s="292"/>
      <c r="GR8" s="292"/>
      <c r="GS8" s="292"/>
      <c r="GT8" s="292"/>
      <c r="GU8" s="292"/>
      <c r="GV8" s="292"/>
      <c r="GW8" s="292"/>
      <c r="GX8" s="292"/>
      <c r="GY8" s="292"/>
      <c r="GZ8" s="292"/>
      <c r="HA8" s="292"/>
      <c r="HB8" s="292"/>
      <c r="HC8" s="292"/>
      <c r="HD8" s="292"/>
      <c r="HE8" s="292"/>
      <c r="HF8" s="292"/>
      <c r="HG8" s="292"/>
      <c r="HH8" s="292"/>
      <c r="HI8" s="292"/>
      <c r="HJ8" s="292"/>
      <c r="HK8" s="292"/>
      <c r="HL8" s="292"/>
      <c r="HM8" s="292"/>
      <c r="HN8" s="292"/>
      <c r="HO8" s="292"/>
      <c r="HP8" s="292"/>
      <c r="HQ8" s="292"/>
      <c r="HR8" s="292"/>
      <c r="HS8" s="292"/>
      <c r="HT8" s="292"/>
      <c r="HU8" s="292"/>
      <c r="HV8" s="292"/>
      <c r="HW8" s="292"/>
    </row>
    <row r="9" spans="1:231" ht="15.6" customHeight="1">
      <c r="A9" s="300" t="s">
        <v>1001</v>
      </c>
      <c r="B9" s="287">
        <v>15226471000</v>
      </c>
      <c r="C9" s="900">
        <f>ROUND(172944264.74+1634338.44+14076560.05+-12000+-2591+85344535.6+47636381.35+1347009257.04+-1782372432.02+1926281006.61+13205120102.82+-16589175.92+245232938.82+137254190.49+-31965054.43,-3)</f>
        <v>15351592000</v>
      </c>
      <c r="D9" s="396"/>
      <c r="E9" s="302">
        <f>(C9/B9)-1</f>
        <v>8.2173341413120937E-3</v>
      </c>
      <c r="F9" s="821"/>
      <c r="G9" s="288"/>
      <c r="H9" s="288"/>
      <c r="I9" s="288"/>
      <c r="J9" s="288"/>
      <c r="K9" s="925"/>
      <c r="L9" s="922"/>
      <c r="M9" s="926"/>
      <c r="N9" s="922"/>
      <c r="O9" s="922"/>
      <c r="P9" s="922"/>
      <c r="Q9" s="924"/>
      <c r="R9" s="924"/>
      <c r="S9" s="924"/>
      <c r="T9" s="924"/>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c r="BS9" s="292"/>
      <c r="BT9" s="292"/>
      <c r="BU9" s="292"/>
      <c r="BV9" s="292"/>
      <c r="BW9" s="292"/>
      <c r="BX9" s="292"/>
      <c r="BY9" s="292"/>
      <c r="BZ9" s="292"/>
      <c r="CA9" s="292"/>
      <c r="CB9" s="292"/>
      <c r="CC9" s="292"/>
      <c r="CD9" s="292"/>
      <c r="CE9" s="292"/>
      <c r="CF9" s="292"/>
      <c r="CG9" s="292"/>
      <c r="CH9" s="292"/>
      <c r="CI9" s="292"/>
      <c r="CJ9" s="292"/>
      <c r="CK9" s="292"/>
      <c r="CL9" s="292"/>
      <c r="CM9" s="292"/>
      <c r="CN9" s="292"/>
      <c r="CO9" s="292"/>
      <c r="CP9" s="292"/>
      <c r="CQ9" s="292"/>
      <c r="CR9" s="292"/>
      <c r="CS9" s="292"/>
      <c r="CT9" s="292"/>
      <c r="CU9" s="292"/>
      <c r="CV9" s="292"/>
      <c r="CW9" s="292"/>
      <c r="CX9" s="292"/>
      <c r="CY9" s="292"/>
      <c r="CZ9" s="292"/>
      <c r="DA9" s="292"/>
      <c r="DB9" s="292"/>
      <c r="DC9" s="292"/>
      <c r="DD9" s="292"/>
      <c r="DE9" s="292"/>
      <c r="DF9" s="292"/>
      <c r="DG9" s="292"/>
      <c r="DH9" s="292"/>
      <c r="DI9" s="292"/>
      <c r="DJ9" s="292"/>
      <c r="DK9" s="292"/>
      <c r="DL9" s="292"/>
      <c r="DM9" s="292"/>
      <c r="DN9" s="292"/>
      <c r="DO9" s="292"/>
      <c r="DP9" s="292"/>
      <c r="DQ9" s="292"/>
      <c r="DR9" s="292"/>
      <c r="DS9" s="292"/>
      <c r="DT9" s="292"/>
      <c r="DU9" s="292"/>
      <c r="DV9" s="292"/>
      <c r="DW9" s="292"/>
      <c r="DX9" s="292"/>
      <c r="DY9" s="292"/>
      <c r="DZ9" s="292"/>
      <c r="EA9" s="292"/>
      <c r="EB9" s="292"/>
      <c r="EC9" s="292"/>
      <c r="ED9" s="292"/>
      <c r="EE9" s="292"/>
      <c r="EF9" s="292"/>
      <c r="EG9" s="292"/>
      <c r="EH9" s="292"/>
      <c r="EI9" s="292"/>
      <c r="EJ9" s="292"/>
      <c r="EK9" s="292"/>
      <c r="EL9" s="292"/>
      <c r="EM9" s="292"/>
      <c r="EN9" s="292"/>
      <c r="EO9" s="292"/>
      <c r="EP9" s="292"/>
      <c r="EQ9" s="292"/>
      <c r="ER9" s="292"/>
      <c r="ES9" s="292"/>
      <c r="ET9" s="292"/>
      <c r="EU9" s="292"/>
      <c r="EV9" s="292"/>
      <c r="EW9" s="292"/>
      <c r="EX9" s="292"/>
      <c r="EY9" s="292"/>
      <c r="EZ9" s="292"/>
      <c r="FA9" s="292"/>
      <c r="FB9" s="292"/>
      <c r="FC9" s="292"/>
      <c r="FD9" s="292"/>
      <c r="FE9" s="292"/>
      <c r="FF9" s="292"/>
      <c r="FG9" s="292"/>
      <c r="FH9" s="292"/>
      <c r="FI9" s="292"/>
      <c r="FJ9" s="292"/>
      <c r="FK9" s="292"/>
      <c r="FL9" s="292"/>
      <c r="FM9" s="292"/>
      <c r="FN9" s="292"/>
      <c r="FO9" s="292"/>
      <c r="FP9" s="292"/>
      <c r="FQ9" s="292"/>
      <c r="FR9" s="292"/>
      <c r="FS9" s="292"/>
      <c r="FT9" s="292"/>
      <c r="FU9" s="292"/>
      <c r="FV9" s="292"/>
      <c r="FW9" s="292"/>
      <c r="FX9" s="292"/>
      <c r="FY9" s="292"/>
      <c r="FZ9" s="292"/>
      <c r="GA9" s="292"/>
      <c r="GB9" s="292"/>
      <c r="GC9" s="292"/>
      <c r="GD9" s="292"/>
      <c r="GE9" s="292"/>
      <c r="GF9" s="292"/>
      <c r="GG9" s="292"/>
      <c r="GH9" s="292"/>
      <c r="GI9" s="292"/>
      <c r="GJ9" s="292"/>
      <c r="GK9" s="292"/>
      <c r="GL9" s="292"/>
      <c r="GM9" s="292"/>
      <c r="GN9" s="292"/>
      <c r="GO9" s="292"/>
      <c r="GP9" s="292"/>
      <c r="GQ9" s="292"/>
      <c r="GR9" s="292"/>
      <c r="GS9" s="292"/>
      <c r="GT9" s="292"/>
      <c r="GU9" s="292"/>
      <c r="GV9" s="292"/>
      <c r="GW9" s="292"/>
      <c r="GX9" s="292"/>
      <c r="GY9" s="292"/>
      <c r="GZ9" s="292"/>
      <c r="HA9" s="292"/>
      <c r="HB9" s="292"/>
      <c r="HC9" s="292"/>
      <c r="HD9" s="292"/>
      <c r="HE9" s="292"/>
      <c r="HF9" s="292"/>
      <c r="HG9" s="292"/>
      <c r="HH9" s="292"/>
      <c r="HI9" s="292"/>
      <c r="HJ9" s="292"/>
      <c r="HK9" s="292"/>
      <c r="HL9" s="292"/>
      <c r="HM9" s="292"/>
      <c r="HN9" s="292"/>
      <c r="HO9" s="292"/>
      <c r="HP9" s="292"/>
      <c r="HQ9" s="292"/>
      <c r="HR9" s="292"/>
      <c r="HS9" s="292"/>
      <c r="HT9" s="292"/>
      <c r="HU9" s="292"/>
      <c r="HV9" s="292"/>
      <c r="HW9" s="292"/>
    </row>
    <row r="10" spans="1:231" ht="15.6" customHeight="1">
      <c r="A10" s="300" t="s">
        <v>1014</v>
      </c>
      <c r="B10" s="287">
        <v>191000</v>
      </c>
      <c r="C10" s="395">
        <f>ROUND(10996+69278.18,-3)</f>
        <v>80000</v>
      </c>
      <c r="D10" s="396"/>
      <c r="E10" s="310">
        <f>(C10/B10)-1</f>
        <v>-0.58115183246073299</v>
      </c>
      <c r="F10" s="822"/>
      <c r="G10" s="288"/>
      <c r="H10" s="288"/>
      <c r="I10" s="288"/>
      <c r="J10" s="288"/>
      <c r="K10" s="925"/>
      <c r="L10" s="922"/>
      <c r="M10" s="926"/>
      <c r="N10" s="922"/>
      <c r="O10" s="922"/>
      <c r="P10" s="922"/>
      <c r="T10" s="924"/>
      <c r="U10" s="291"/>
      <c r="V10" s="291"/>
      <c r="W10" s="291"/>
      <c r="X10" s="292"/>
      <c r="Y10" s="292"/>
      <c r="Z10" s="292"/>
      <c r="AA10" s="292"/>
      <c r="AB10" s="292"/>
      <c r="AC10" s="292"/>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c r="CB10" s="292"/>
      <c r="CC10" s="292"/>
      <c r="CD10" s="292"/>
      <c r="CE10" s="292"/>
      <c r="CF10" s="292"/>
      <c r="CG10" s="292"/>
      <c r="CH10" s="292"/>
      <c r="CI10" s="292"/>
      <c r="CJ10" s="292"/>
      <c r="CK10" s="292"/>
      <c r="CL10" s="292"/>
      <c r="CM10" s="292"/>
      <c r="CN10" s="292"/>
      <c r="CO10" s="292"/>
      <c r="CP10" s="292"/>
      <c r="CQ10" s="292"/>
      <c r="CR10" s="292"/>
      <c r="CS10" s="292"/>
      <c r="CT10" s="292"/>
      <c r="CU10" s="292"/>
      <c r="CV10" s="292"/>
      <c r="CW10" s="292"/>
      <c r="CX10" s="292"/>
      <c r="CY10" s="292"/>
      <c r="CZ10" s="292"/>
      <c r="DA10" s="292"/>
      <c r="DB10" s="292"/>
      <c r="DC10" s="292"/>
      <c r="DD10" s="292"/>
      <c r="DE10" s="292"/>
      <c r="DF10" s="292"/>
      <c r="DG10" s="292"/>
      <c r="DH10" s="292"/>
      <c r="DI10" s="292"/>
      <c r="DJ10" s="292"/>
      <c r="DK10" s="292"/>
      <c r="DL10" s="292"/>
      <c r="DM10" s="292"/>
      <c r="DN10" s="292"/>
      <c r="DO10" s="292"/>
      <c r="DP10" s="292"/>
      <c r="DQ10" s="292"/>
      <c r="DR10" s="292"/>
      <c r="DS10" s="292"/>
      <c r="DT10" s="292"/>
      <c r="DU10" s="292"/>
      <c r="DV10" s="292"/>
      <c r="DW10" s="292"/>
      <c r="DX10" s="292"/>
      <c r="DY10" s="292"/>
      <c r="DZ10" s="292"/>
      <c r="EA10" s="292"/>
      <c r="EB10" s="292"/>
      <c r="EC10" s="292"/>
      <c r="ED10" s="292"/>
      <c r="EE10" s="292"/>
      <c r="EF10" s="292"/>
      <c r="EG10" s="292"/>
      <c r="EH10" s="292"/>
      <c r="EI10" s="292"/>
      <c r="EJ10" s="292"/>
      <c r="EK10" s="292"/>
      <c r="EL10" s="292"/>
      <c r="EM10" s="292"/>
      <c r="EN10" s="292"/>
      <c r="EO10" s="292"/>
      <c r="EP10" s="292"/>
      <c r="EQ10" s="292"/>
      <c r="ER10" s="292"/>
      <c r="ES10" s="292"/>
      <c r="ET10" s="292"/>
      <c r="EU10" s="292"/>
      <c r="EV10" s="292"/>
      <c r="EW10" s="292"/>
      <c r="EX10" s="292"/>
      <c r="EY10" s="292"/>
      <c r="EZ10" s="292"/>
      <c r="FA10" s="292"/>
      <c r="FB10" s="292"/>
      <c r="FC10" s="292"/>
      <c r="FD10" s="292"/>
      <c r="FE10" s="292"/>
      <c r="FF10" s="292"/>
      <c r="FG10" s="292"/>
      <c r="FH10" s="292"/>
      <c r="FI10" s="292"/>
      <c r="FJ10" s="292"/>
      <c r="FK10" s="292"/>
      <c r="FL10" s="292"/>
      <c r="FM10" s="292"/>
      <c r="FN10" s="292"/>
      <c r="FO10" s="292"/>
      <c r="FP10" s="292"/>
      <c r="FQ10" s="292"/>
      <c r="FR10" s="292"/>
      <c r="FS10" s="292"/>
      <c r="FT10" s="292"/>
      <c r="FU10" s="292"/>
      <c r="FV10" s="292"/>
      <c r="FW10" s="292"/>
      <c r="FX10" s="292"/>
      <c r="FY10" s="292"/>
      <c r="FZ10" s="292"/>
      <c r="GA10" s="292"/>
      <c r="GB10" s="292"/>
      <c r="GC10" s="292"/>
      <c r="GD10" s="292"/>
      <c r="GE10" s="292"/>
      <c r="GF10" s="292"/>
      <c r="GG10" s="292"/>
      <c r="GH10" s="292"/>
      <c r="GI10" s="292"/>
      <c r="GJ10" s="292"/>
      <c r="GK10" s="292"/>
      <c r="GL10" s="292"/>
      <c r="GM10" s="292"/>
      <c r="GN10" s="292"/>
      <c r="GO10" s="292"/>
      <c r="GP10" s="292"/>
      <c r="GQ10" s="292"/>
      <c r="GR10" s="292"/>
      <c r="GS10" s="292"/>
      <c r="GT10" s="292"/>
      <c r="GU10" s="292"/>
      <c r="GV10" s="292"/>
      <c r="GW10" s="292"/>
      <c r="GX10" s="292"/>
      <c r="GY10" s="292"/>
      <c r="GZ10" s="292"/>
      <c r="HA10" s="292"/>
      <c r="HB10" s="292"/>
      <c r="HC10" s="292"/>
      <c r="HD10" s="292"/>
      <c r="HE10" s="292"/>
      <c r="HF10" s="292"/>
      <c r="HG10" s="292"/>
      <c r="HH10" s="292"/>
      <c r="HI10" s="292"/>
      <c r="HJ10" s="292"/>
      <c r="HK10" s="292"/>
      <c r="HL10" s="292"/>
      <c r="HM10" s="292"/>
      <c r="HN10" s="292"/>
      <c r="HO10" s="292"/>
      <c r="HP10" s="292"/>
      <c r="HQ10" s="292"/>
      <c r="HR10" s="292"/>
      <c r="HS10" s="292"/>
      <c r="HT10" s="292"/>
      <c r="HU10" s="292"/>
      <c r="HV10" s="292"/>
      <c r="HW10" s="292"/>
    </row>
    <row r="11" spans="1:231" ht="15.6" customHeight="1">
      <c r="A11" s="300" t="s">
        <v>339</v>
      </c>
      <c r="B11" s="287">
        <v>372107000</v>
      </c>
      <c r="C11" s="287">
        <f>ROUND(39715917.44+-6507.25+-48621.15+487130322.81+-59669923.88,-3)</f>
        <v>467121000</v>
      </c>
      <c r="D11" s="396"/>
      <c r="E11" s="397">
        <f t="shared" si="0"/>
        <v>0.25534053377120025</v>
      </c>
      <c r="F11" s="963"/>
      <c r="G11" s="288"/>
      <c r="H11" s="288"/>
      <c r="I11" s="288"/>
      <c r="J11" s="288"/>
      <c r="K11" s="925"/>
      <c r="L11" s="922"/>
      <c r="M11" s="926"/>
      <c r="N11" s="922"/>
      <c r="O11" s="922"/>
      <c r="P11" s="922"/>
      <c r="Q11" s="922"/>
      <c r="R11" s="922"/>
      <c r="S11" s="922"/>
      <c r="T11" s="922"/>
      <c r="U11" s="291"/>
      <c r="V11" s="291"/>
      <c r="W11" s="291"/>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292"/>
      <c r="BS11" s="292"/>
      <c r="BT11" s="292"/>
      <c r="BU11" s="292"/>
      <c r="BV11" s="292"/>
      <c r="BW11" s="292"/>
      <c r="BX11" s="292"/>
      <c r="BY11" s="292"/>
      <c r="BZ11" s="292"/>
      <c r="CA11" s="292"/>
      <c r="CB11" s="292"/>
      <c r="CC11" s="292"/>
      <c r="CD11" s="292"/>
      <c r="CE11" s="292"/>
      <c r="CF11" s="292"/>
      <c r="CG11" s="292"/>
      <c r="CH11" s="292"/>
      <c r="CI11" s="292"/>
      <c r="CJ11" s="292"/>
      <c r="CK11" s="292"/>
      <c r="CL11" s="292"/>
      <c r="CM11" s="292"/>
      <c r="CN11" s="292"/>
      <c r="CO11" s="292"/>
      <c r="CP11" s="292"/>
      <c r="CQ11" s="292"/>
      <c r="CR11" s="292"/>
      <c r="CS11" s="292"/>
      <c r="CT11" s="292"/>
      <c r="CU11" s="292"/>
      <c r="CV11" s="292"/>
      <c r="CW11" s="292"/>
      <c r="CX11" s="292"/>
      <c r="CY11" s="292"/>
      <c r="CZ11" s="292"/>
      <c r="DA11" s="292"/>
      <c r="DB11" s="292"/>
      <c r="DC11" s="292"/>
      <c r="DD11" s="292"/>
      <c r="DE11" s="292"/>
      <c r="DF11" s="292"/>
      <c r="DG11" s="292"/>
      <c r="DH11" s="292"/>
      <c r="DI11" s="292"/>
      <c r="DJ11" s="292"/>
      <c r="DK11" s="292"/>
      <c r="DL11" s="292"/>
      <c r="DM11" s="292"/>
      <c r="DN11" s="292"/>
      <c r="DO11" s="292"/>
      <c r="DP11" s="292"/>
      <c r="DQ11" s="292"/>
      <c r="DR11" s="292"/>
      <c r="DS11" s="292"/>
      <c r="DT11" s="292"/>
      <c r="DU11" s="292"/>
      <c r="DV11" s="292"/>
      <c r="DW11" s="292"/>
      <c r="DX11" s="292"/>
      <c r="DY11" s="292"/>
      <c r="DZ11" s="292"/>
      <c r="EA11" s="292"/>
      <c r="EB11" s="292"/>
      <c r="EC11" s="292"/>
      <c r="ED11" s="292"/>
      <c r="EE11" s="292"/>
      <c r="EF11" s="292"/>
      <c r="EG11" s="292"/>
      <c r="EH11" s="292"/>
      <c r="EI11" s="292"/>
      <c r="EJ11" s="292"/>
      <c r="EK11" s="292"/>
      <c r="EL11" s="292"/>
      <c r="EM11" s="292"/>
      <c r="EN11" s="292"/>
      <c r="EO11" s="292"/>
      <c r="EP11" s="292"/>
      <c r="EQ11" s="292"/>
      <c r="ER11" s="292"/>
      <c r="ES11" s="292"/>
      <c r="ET11" s="292"/>
      <c r="EU11" s="292"/>
      <c r="EV11" s="292"/>
      <c r="EW11" s="292"/>
      <c r="EX11" s="292"/>
      <c r="EY11" s="292"/>
      <c r="EZ11" s="292"/>
      <c r="FA11" s="292"/>
      <c r="FB11" s="292"/>
      <c r="FC11" s="292"/>
      <c r="FD11" s="292"/>
      <c r="FE11" s="292"/>
      <c r="FF11" s="292"/>
      <c r="FG11" s="292"/>
      <c r="FH11" s="292"/>
      <c r="FI11" s="292"/>
      <c r="FJ11" s="292"/>
      <c r="FK11" s="292"/>
      <c r="FL11" s="292"/>
      <c r="FM11" s="292"/>
      <c r="FN11" s="292"/>
      <c r="FO11" s="292"/>
      <c r="FP11" s="292"/>
      <c r="FQ11" s="292"/>
      <c r="FR11" s="292"/>
      <c r="FS11" s="292"/>
      <c r="FT11" s="292"/>
      <c r="FU11" s="292"/>
      <c r="FV11" s="292"/>
      <c r="FW11" s="292"/>
      <c r="FX11" s="292"/>
      <c r="FY11" s="292"/>
      <c r="FZ11" s="292"/>
      <c r="GA11" s="292"/>
      <c r="GB11" s="292"/>
      <c r="GC11" s="292"/>
      <c r="GD11" s="292"/>
      <c r="GE11" s="292"/>
      <c r="GF11" s="292"/>
      <c r="GG11" s="292"/>
      <c r="GH11" s="292"/>
      <c r="GI11" s="292"/>
      <c r="GJ11" s="292"/>
      <c r="GK11" s="292"/>
      <c r="GL11" s="292"/>
      <c r="GM11" s="292"/>
      <c r="GN11" s="292"/>
      <c r="GO11" s="292"/>
      <c r="GP11" s="292"/>
      <c r="GQ11" s="292"/>
      <c r="GR11" s="292"/>
      <c r="GS11" s="292"/>
      <c r="GT11" s="292"/>
      <c r="GU11" s="292"/>
      <c r="GV11" s="292"/>
      <c r="GW11" s="292"/>
      <c r="GX11" s="292"/>
      <c r="GY11" s="292"/>
      <c r="GZ11" s="292"/>
      <c r="HA11" s="292"/>
      <c r="HB11" s="292"/>
      <c r="HC11" s="292"/>
      <c r="HD11" s="292"/>
      <c r="HE11" s="292"/>
      <c r="HF11" s="292"/>
      <c r="HG11" s="292"/>
      <c r="HH11" s="292"/>
      <c r="HI11" s="292"/>
      <c r="HJ11" s="292"/>
      <c r="HK11" s="292"/>
      <c r="HL11" s="292"/>
      <c r="HM11" s="292"/>
      <c r="HN11" s="292"/>
      <c r="HO11" s="292"/>
      <c r="HP11" s="292"/>
      <c r="HQ11" s="292"/>
      <c r="HR11" s="292"/>
      <c r="HS11" s="292"/>
      <c r="HT11" s="292"/>
      <c r="HU11" s="292"/>
      <c r="HV11" s="292"/>
      <c r="HW11" s="292"/>
    </row>
    <row r="12" spans="1:231" ht="15.6" customHeight="1">
      <c r="A12" s="300" t="s">
        <v>340</v>
      </c>
      <c r="B12" s="287">
        <v>6738000</v>
      </c>
      <c r="C12" s="287">
        <f>ROUND(6074046.59+-46849.18+0+560500.22,-3)</f>
        <v>6588000</v>
      </c>
      <c r="E12" s="302">
        <f t="shared" si="0"/>
        <v>-2.2261798753339224E-2</v>
      </c>
      <c r="F12" s="303"/>
      <c r="G12" s="288"/>
      <c r="H12" s="288"/>
      <c r="I12" s="288"/>
      <c r="J12" s="288"/>
      <c r="K12" s="925"/>
      <c r="L12" s="922"/>
      <c r="M12" s="926"/>
      <c r="N12" s="922"/>
      <c r="O12" s="922"/>
      <c r="P12" s="922"/>
      <c r="Q12" s="924"/>
      <c r="R12" s="922"/>
      <c r="S12" s="922"/>
      <c r="T12" s="922"/>
      <c r="U12" s="291"/>
      <c r="V12" s="291"/>
      <c r="W12" s="291"/>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292"/>
      <c r="CK12" s="292"/>
      <c r="CL12" s="292"/>
      <c r="CM12" s="292"/>
      <c r="CN12" s="292"/>
      <c r="CO12" s="292"/>
      <c r="CP12" s="292"/>
      <c r="CQ12" s="292"/>
      <c r="CR12" s="292"/>
      <c r="CS12" s="292"/>
      <c r="CT12" s="292"/>
      <c r="CU12" s="292"/>
      <c r="CV12" s="292"/>
      <c r="CW12" s="292"/>
      <c r="CX12" s="292"/>
      <c r="CY12" s="292"/>
      <c r="CZ12" s="292"/>
      <c r="DA12" s="292"/>
      <c r="DB12" s="292"/>
      <c r="DC12" s="292"/>
      <c r="DD12" s="292"/>
      <c r="DE12" s="292"/>
      <c r="DF12" s="292"/>
      <c r="DG12" s="292"/>
      <c r="DH12" s="292"/>
      <c r="DI12" s="292"/>
      <c r="DJ12" s="292"/>
      <c r="DK12" s="292"/>
      <c r="DL12" s="292"/>
      <c r="DM12" s="292"/>
      <c r="DN12" s="292"/>
      <c r="DO12" s="292"/>
      <c r="DP12" s="292"/>
      <c r="DQ12" s="292"/>
      <c r="DR12" s="292"/>
      <c r="DS12" s="292"/>
      <c r="DT12" s="292"/>
      <c r="DU12" s="292"/>
      <c r="DV12" s="292"/>
      <c r="DW12" s="292"/>
      <c r="DX12" s="292"/>
      <c r="DY12" s="292"/>
      <c r="DZ12" s="292"/>
      <c r="EA12" s="292"/>
      <c r="EB12" s="292"/>
      <c r="EC12" s="292"/>
      <c r="ED12" s="292"/>
      <c r="EE12" s="292"/>
      <c r="EF12" s="292"/>
      <c r="EG12" s="292"/>
      <c r="EH12" s="292"/>
      <c r="EI12" s="292"/>
      <c r="EJ12" s="292"/>
      <c r="EK12" s="292"/>
      <c r="EL12" s="292"/>
      <c r="EM12" s="292"/>
      <c r="EN12" s="292"/>
      <c r="EO12" s="292"/>
      <c r="EP12" s="292"/>
      <c r="EQ12" s="292"/>
      <c r="ER12" s="292"/>
      <c r="ES12" s="292"/>
      <c r="ET12" s="292"/>
      <c r="EU12" s="292"/>
      <c r="EV12" s="292"/>
      <c r="EW12" s="292"/>
      <c r="EX12" s="292"/>
      <c r="EY12" s="292"/>
      <c r="EZ12" s="292"/>
      <c r="FA12" s="292"/>
      <c r="FB12" s="292"/>
      <c r="FC12" s="292"/>
      <c r="FD12" s="292"/>
      <c r="FE12" s="292"/>
      <c r="FF12" s="292"/>
      <c r="FG12" s="292"/>
      <c r="FH12" s="292"/>
      <c r="FI12" s="292"/>
      <c r="FJ12" s="292"/>
      <c r="FK12" s="292"/>
      <c r="FL12" s="292"/>
      <c r="FM12" s="292"/>
      <c r="FN12" s="292"/>
      <c r="FO12" s="292"/>
      <c r="FP12" s="292"/>
      <c r="FQ12" s="292"/>
      <c r="FR12" s="292"/>
      <c r="FS12" s="292"/>
      <c r="FT12" s="292"/>
      <c r="FU12" s="292"/>
      <c r="FV12" s="292"/>
      <c r="FW12" s="292"/>
      <c r="FX12" s="292"/>
      <c r="FY12" s="292"/>
      <c r="FZ12" s="292"/>
      <c r="GA12" s="292"/>
      <c r="GB12" s="292"/>
      <c r="GC12" s="292"/>
      <c r="GD12" s="292"/>
      <c r="GE12" s="292"/>
      <c r="GF12" s="292"/>
      <c r="GG12" s="292"/>
      <c r="GH12" s="292"/>
      <c r="GI12" s="292"/>
      <c r="GJ12" s="292"/>
      <c r="GK12" s="292"/>
      <c r="GL12" s="292"/>
      <c r="GM12" s="292"/>
      <c r="GN12" s="292"/>
      <c r="GO12" s="292"/>
      <c r="GP12" s="292"/>
      <c r="GQ12" s="292"/>
      <c r="GR12" s="292"/>
      <c r="GS12" s="292"/>
      <c r="GT12" s="292"/>
      <c r="GU12" s="292"/>
      <c r="GV12" s="292"/>
      <c r="GW12" s="292"/>
      <c r="GX12" s="292"/>
      <c r="GY12" s="292"/>
      <c r="GZ12" s="292"/>
      <c r="HA12" s="292"/>
      <c r="HB12" s="292"/>
      <c r="HC12" s="292"/>
      <c r="HD12" s="292"/>
      <c r="HE12" s="292"/>
      <c r="HF12" s="292"/>
      <c r="HG12" s="292"/>
      <c r="HH12" s="292"/>
      <c r="HI12" s="292"/>
      <c r="HJ12" s="292"/>
      <c r="HK12" s="292"/>
      <c r="HL12" s="292"/>
      <c r="HM12" s="292"/>
      <c r="HN12" s="292"/>
      <c r="HO12" s="292"/>
      <c r="HP12" s="292"/>
      <c r="HQ12" s="292"/>
      <c r="HR12" s="292"/>
      <c r="HS12" s="292"/>
      <c r="HT12" s="292"/>
      <c r="HU12" s="292"/>
      <c r="HV12" s="292"/>
      <c r="HW12" s="292"/>
    </row>
    <row r="13" spans="1:231" ht="15.6" customHeight="1">
      <c r="A13" s="300" t="s">
        <v>341</v>
      </c>
      <c r="B13" s="287">
        <v>3580355000</v>
      </c>
      <c r="C13" s="395">
        <f>ROUND(2683258.31+208033441.59+53040341.29+3169525635.96+-34441737.4+2478935.49+173593188.29+-5477492.26+540921001.82+-406044118.99+132233.73+2033538.76+338923.1,-3)</f>
        <v>3706817000</v>
      </c>
      <c r="E13" s="302">
        <f t="shared" si="0"/>
        <v>3.5321078496405978E-2</v>
      </c>
      <c r="F13" s="963"/>
      <c r="G13" s="288"/>
      <c r="H13" s="288"/>
      <c r="I13" s="288"/>
      <c r="J13" s="288"/>
      <c r="K13" s="925"/>
      <c r="L13" s="922"/>
      <c r="M13" s="926"/>
      <c r="N13" s="922"/>
      <c r="O13" s="922"/>
      <c r="P13" s="922"/>
      <c r="Q13" s="922"/>
      <c r="R13" s="922"/>
      <c r="S13" s="922"/>
      <c r="T13" s="922"/>
      <c r="U13" s="291"/>
      <c r="V13" s="291"/>
      <c r="W13" s="291"/>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292"/>
      <c r="CK13" s="292"/>
      <c r="CL13" s="292"/>
      <c r="CM13" s="292"/>
      <c r="CN13" s="292"/>
      <c r="CO13" s="292"/>
      <c r="CP13" s="292"/>
      <c r="CQ13" s="292"/>
      <c r="CR13" s="292"/>
      <c r="CS13" s="292"/>
      <c r="CT13" s="292"/>
      <c r="CU13" s="292"/>
      <c r="CV13" s="292"/>
      <c r="CW13" s="292"/>
      <c r="CX13" s="292"/>
      <c r="CY13" s="292"/>
      <c r="CZ13" s="292"/>
      <c r="DA13" s="292"/>
      <c r="DB13" s="292"/>
      <c r="DC13" s="292"/>
      <c r="DD13" s="292"/>
      <c r="DE13" s="292"/>
      <c r="DF13" s="292"/>
      <c r="DG13" s="292"/>
      <c r="DH13" s="292"/>
      <c r="DI13" s="292"/>
      <c r="DJ13" s="292"/>
      <c r="DK13" s="292"/>
      <c r="DL13" s="292"/>
      <c r="DM13" s="292"/>
      <c r="DN13" s="292"/>
      <c r="DO13" s="292"/>
      <c r="DP13" s="292"/>
      <c r="DQ13" s="292"/>
      <c r="DR13" s="292"/>
      <c r="DS13" s="292"/>
      <c r="DT13" s="292"/>
      <c r="DU13" s="292"/>
      <c r="DV13" s="292"/>
      <c r="DW13" s="292"/>
      <c r="DX13" s="292"/>
      <c r="DY13" s="292"/>
      <c r="DZ13" s="292"/>
      <c r="EA13" s="292"/>
      <c r="EB13" s="292"/>
      <c r="EC13" s="292"/>
      <c r="ED13" s="292"/>
      <c r="EE13" s="292"/>
      <c r="EF13" s="292"/>
      <c r="EG13" s="292"/>
      <c r="EH13" s="292"/>
      <c r="EI13" s="292"/>
      <c r="EJ13" s="292"/>
      <c r="EK13" s="292"/>
      <c r="EL13" s="292"/>
      <c r="EM13" s="292"/>
      <c r="EN13" s="292"/>
      <c r="EO13" s="292"/>
      <c r="EP13" s="292"/>
      <c r="EQ13" s="292"/>
      <c r="ER13" s="292"/>
      <c r="ES13" s="292"/>
      <c r="ET13" s="292"/>
      <c r="EU13" s="292"/>
      <c r="EV13" s="292"/>
      <c r="EW13" s="292"/>
      <c r="EX13" s="292"/>
      <c r="EY13" s="292"/>
      <c r="EZ13" s="292"/>
      <c r="FA13" s="292"/>
      <c r="FB13" s="292"/>
      <c r="FC13" s="292"/>
      <c r="FD13" s="292"/>
      <c r="FE13" s="292"/>
      <c r="FF13" s="292"/>
      <c r="FG13" s="292"/>
      <c r="FH13" s="292"/>
      <c r="FI13" s="292"/>
      <c r="FJ13" s="292"/>
      <c r="FK13" s="292"/>
      <c r="FL13" s="292"/>
      <c r="FM13" s="292"/>
      <c r="FN13" s="292"/>
      <c r="FO13" s="292"/>
      <c r="FP13" s="292"/>
      <c r="FQ13" s="292"/>
      <c r="FR13" s="292"/>
      <c r="FS13" s="292"/>
      <c r="FT13" s="292"/>
      <c r="FU13" s="292"/>
      <c r="FV13" s="292"/>
      <c r="FW13" s="292"/>
      <c r="FX13" s="292"/>
      <c r="FY13" s="292"/>
      <c r="FZ13" s="292"/>
      <c r="GA13" s="292"/>
      <c r="GB13" s="292"/>
      <c r="GC13" s="292"/>
      <c r="GD13" s="292"/>
      <c r="GE13" s="292"/>
      <c r="GF13" s="292"/>
      <c r="GG13" s="292"/>
      <c r="GH13" s="292"/>
      <c r="GI13" s="292"/>
      <c r="GJ13" s="292"/>
      <c r="GK13" s="292"/>
      <c r="GL13" s="292"/>
      <c r="GM13" s="292"/>
      <c r="GN13" s="292"/>
      <c r="GO13" s="292"/>
      <c r="GP13" s="292"/>
      <c r="GQ13" s="292"/>
      <c r="GR13" s="292"/>
      <c r="GS13" s="292"/>
      <c r="GT13" s="292"/>
      <c r="GU13" s="292"/>
      <c r="GV13" s="292"/>
      <c r="GW13" s="292"/>
      <c r="GX13" s="292"/>
      <c r="GY13" s="292"/>
      <c r="GZ13" s="292"/>
      <c r="HA13" s="292"/>
      <c r="HB13" s="292"/>
      <c r="HC13" s="292"/>
      <c r="HD13" s="292"/>
      <c r="HE13" s="292"/>
      <c r="HF13" s="292"/>
      <c r="HG13" s="292"/>
      <c r="HH13" s="292"/>
      <c r="HI13" s="292"/>
      <c r="HJ13" s="292"/>
      <c r="HK13" s="292"/>
      <c r="HL13" s="292"/>
      <c r="HM13" s="292"/>
      <c r="HN13" s="292"/>
      <c r="HO13" s="292"/>
      <c r="HP13" s="292"/>
      <c r="HQ13" s="292"/>
      <c r="HR13" s="292"/>
      <c r="HS13" s="292"/>
      <c r="HT13" s="292"/>
      <c r="HU13" s="292"/>
      <c r="HV13" s="292"/>
      <c r="HW13" s="292"/>
    </row>
    <row r="14" spans="1:231" ht="15.6" customHeight="1">
      <c r="A14" s="300" t="s">
        <v>342</v>
      </c>
      <c r="B14" s="287">
        <v>5681000</v>
      </c>
      <c r="C14" s="395">
        <f>ROUND(6772425.16,-3)</f>
        <v>6772000</v>
      </c>
      <c r="D14" s="396"/>
      <c r="E14" s="302">
        <f t="shared" si="0"/>
        <v>0.19204365428621717</v>
      </c>
      <c r="F14" s="303"/>
      <c r="G14" s="288"/>
      <c r="H14" s="288"/>
      <c r="I14" s="288"/>
      <c r="J14" s="288"/>
      <c r="K14" s="925"/>
      <c r="L14" s="922"/>
      <c r="M14" s="926"/>
      <c r="N14" s="922"/>
      <c r="O14" s="922"/>
      <c r="P14" s="922"/>
      <c r="Q14" s="924"/>
      <c r="R14" s="922"/>
      <c r="S14" s="922"/>
      <c r="T14" s="922"/>
      <c r="U14" s="291"/>
      <c r="V14" s="291"/>
      <c r="W14" s="291"/>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2"/>
      <c r="CM14" s="292"/>
      <c r="CN14" s="292"/>
      <c r="CO14" s="292"/>
      <c r="CP14" s="292"/>
      <c r="CQ14" s="292"/>
      <c r="CR14" s="292"/>
      <c r="CS14" s="292"/>
      <c r="CT14" s="292"/>
      <c r="CU14" s="292"/>
      <c r="CV14" s="292"/>
      <c r="CW14" s="292"/>
      <c r="CX14" s="292"/>
      <c r="CY14" s="292"/>
      <c r="CZ14" s="292"/>
      <c r="DA14" s="292"/>
      <c r="DB14" s="292"/>
      <c r="DC14" s="292"/>
      <c r="DD14" s="292"/>
      <c r="DE14" s="292"/>
      <c r="DF14" s="292"/>
      <c r="DG14" s="292"/>
      <c r="DH14" s="292"/>
      <c r="DI14" s="292"/>
      <c r="DJ14" s="292"/>
      <c r="DK14" s="292"/>
      <c r="DL14" s="292"/>
      <c r="DM14" s="292"/>
      <c r="DN14" s="292"/>
      <c r="DO14" s="292"/>
      <c r="DP14" s="292"/>
      <c r="DQ14" s="292"/>
      <c r="DR14" s="292"/>
      <c r="DS14" s="292"/>
      <c r="DT14" s="292"/>
      <c r="DU14" s="292"/>
      <c r="DV14" s="292"/>
      <c r="DW14" s="292"/>
      <c r="DX14" s="292"/>
      <c r="DY14" s="292"/>
      <c r="DZ14" s="292"/>
      <c r="EA14" s="292"/>
      <c r="EB14" s="292"/>
      <c r="EC14" s="292"/>
      <c r="ED14" s="292"/>
      <c r="EE14" s="292"/>
      <c r="EF14" s="292"/>
      <c r="EG14" s="292"/>
      <c r="EH14" s="292"/>
      <c r="EI14" s="292"/>
      <c r="EJ14" s="292"/>
      <c r="EK14" s="292"/>
      <c r="EL14" s="292"/>
      <c r="EM14" s="292"/>
      <c r="EN14" s="292"/>
      <c r="EO14" s="292"/>
      <c r="EP14" s="292"/>
      <c r="EQ14" s="292"/>
      <c r="ER14" s="292"/>
      <c r="ES14" s="292"/>
      <c r="ET14" s="292"/>
      <c r="EU14" s="292"/>
      <c r="EV14" s="292"/>
      <c r="EW14" s="292"/>
      <c r="EX14" s="292"/>
      <c r="EY14" s="292"/>
      <c r="EZ14" s="292"/>
      <c r="FA14" s="292"/>
      <c r="FB14" s="292"/>
      <c r="FC14" s="292"/>
      <c r="FD14" s="292"/>
      <c r="FE14" s="292"/>
      <c r="FF14" s="292"/>
      <c r="FG14" s="292"/>
      <c r="FH14" s="292"/>
      <c r="FI14" s="292"/>
      <c r="FJ14" s="292"/>
      <c r="FK14" s="292"/>
      <c r="FL14" s="292"/>
      <c r="FM14" s="292"/>
      <c r="FN14" s="292"/>
      <c r="FO14" s="292"/>
      <c r="FP14" s="292"/>
      <c r="FQ14" s="292"/>
      <c r="FR14" s="292"/>
      <c r="FS14" s="292"/>
      <c r="FT14" s="292"/>
      <c r="FU14" s="292"/>
      <c r="FV14" s="292"/>
      <c r="FW14" s="292"/>
      <c r="FX14" s="292"/>
      <c r="FY14" s="292"/>
      <c r="FZ14" s="292"/>
      <c r="GA14" s="292"/>
      <c r="GB14" s="292"/>
      <c r="GC14" s="292"/>
      <c r="GD14" s="292"/>
      <c r="GE14" s="292"/>
      <c r="GF14" s="292"/>
      <c r="GG14" s="292"/>
      <c r="GH14" s="292"/>
      <c r="GI14" s="292"/>
      <c r="GJ14" s="292"/>
      <c r="GK14" s="292"/>
      <c r="GL14" s="292"/>
      <c r="GM14" s="292"/>
      <c r="GN14" s="292"/>
      <c r="GO14" s="292"/>
      <c r="GP14" s="292"/>
      <c r="GQ14" s="292"/>
      <c r="GR14" s="292"/>
      <c r="GS14" s="292"/>
      <c r="GT14" s="292"/>
      <c r="GU14" s="292"/>
      <c r="GV14" s="292"/>
      <c r="GW14" s="292"/>
      <c r="GX14" s="292"/>
      <c r="GY14" s="292"/>
      <c r="GZ14" s="292"/>
      <c r="HA14" s="292"/>
      <c r="HB14" s="292"/>
      <c r="HC14" s="292"/>
      <c r="HD14" s="292"/>
      <c r="HE14" s="292"/>
      <c r="HF14" s="292"/>
      <c r="HG14" s="292"/>
      <c r="HH14" s="292"/>
      <c r="HI14" s="292"/>
      <c r="HJ14" s="292"/>
      <c r="HK14" s="292"/>
      <c r="HL14" s="292"/>
      <c r="HM14" s="292"/>
      <c r="HN14" s="292"/>
      <c r="HO14" s="292"/>
      <c r="HP14" s="292"/>
      <c r="HQ14" s="292"/>
      <c r="HR14" s="292"/>
      <c r="HS14" s="292"/>
      <c r="HT14" s="292"/>
      <c r="HU14" s="292"/>
      <c r="HV14" s="292"/>
      <c r="HW14" s="292"/>
    </row>
    <row r="15" spans="1:231" ht="15.6" customHeight="1">
      <c r="A15" s="290" t="s">
        <v>844</v>
      </c>
      <c r="B15" s="287">
        <v>6444000</v>
      </c>
      <c r="C15" s="287">
        <f>ROUND(5794346.74+726593.28,-3)</f>
        <v>6521000</v>
      </c>
      <c r="E15" s="302">
        <f>(C15/B15)-1</f>
        <v>1.194909993792681E-2</v>
      </c>
      <c r="F15" s="963"/>
      <c r="G15" s="288"/>
      <c r="H15" s="288"/>
      <c r="I15" s="288"/>
      <c r="J15" s="288"/>
      <c r="K15" s="925"/>
      <c r="L15" s="922"/>
      <c r="M15" s="926"/>
      <c r="N15" s="922"/>
      <c r="O15" s="922"/>
      <c r="P15" s="922"/>
      <c r="Q15" s="924"/>
      <c r="R15" s="922"/>
      <c r="S15" s="922"/>
      <c r="T15" s="922"/>
      <c r="U15" s="291"/>
      <c r="V15" s="291"/>
      <c r="W15" s="291"/>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2"/>
      <c r="CE15" s="292"/>
      <c r="CF15" s="292"/>
      <c r="CG15" s="292"/>
      <c r="CH15" s="292"/>
      <c r="CI15" s="292"/>
      <c r="CJ15" s="292"/>
      <c r="CK15" s="292"/>
      <c r="CL15" s="292"/>
      <c r="CM15" s="292"/>
      <c r="CN15" s="292"/>
      <c r="CO15" s="292"/>
      <c r="CP15" s="292"/>
      <c r="CQ15" s="292"/>
      <c r="CR15" s="292"/>
      <c r="CS15" s="292"/>
      <c r="CT15" s="292"/>
      <c r="CU15" s="292"/>
      <c r="CV15" s="292"/>
      <c r="CW15" s="292"/>
      <c r="CX15" s="292"/>
      <c r="CY15" s="292"/>
      <c r="CZ15" s="292"/>
      <c r="DA15" s="292"/>
      <c r="DB15" s="292"/>
      <c r="DC15" s="292"/>
      <c r="DD15" s="292"/>
      <c r="DE15" s="292"/>
      <c r="DF15" s="292"/>
      <c r="DG15" s="292"/>
      <c r="DH15" s="292"/>
      <c r="DI15" s="292"/>
      <c r="DJ15" s="292"/>
      <c r="DK15" s="292"/>
      <c r="DL15" s="292"/>
      <c r="DM15" s="292"/>
      <c r="DN15" s="292"/>
      <c r="DO15" s="292"/>
      <c r="DP15" s="292"/>
      <c r="DQ15" s="292"/>
      <c r="DR15" s="292"/>
      <c r="DS15" s="292"/>
      <c r="DT15" s="292"/>
      <c r="DU15" s="292"/>
      <c r="DV15" s="292"/>
      <c r="DW15" s="292"/>
      <c r="DX15" s="292"/>
      <c r="DY15" s="292"/>
      <c r="DZ15" s="292"/>
      <c r="EA15" s="292"/>
      <c r="EB15" s="292"/>
      <c r="EC15" s="292"/>
      <c r="ED15" s="292"/>
      <c r="EE15" s="292"/>
      <c r="EF15" s="292"/>
      <c r="EG15" s="292"/>
      <c r="EH15" s="292"/>
      <c r="EI15" s="292"/>
      <c r="EJ15" s="292"/>
      <c r="EK15" s="292"/>
      <c r="EL15" s="292"/>
      <c r="EM15" s="292"/>
      <c r="EN15" s="292"/>
      <c r="EO15" s="292"/>
      <c r="EP15" s="292"/>
      <c r="EQ15" s="292"/>
      <c r="ER15" s="292"/>
      <c r="ES15" s="292"/>
      <c r="ET15" s="292"/>
      <c r="EU15" s="292"/>
      <c r="EV15" s="292"/>
      <c r="EW15" s="292"/>
      <c r="EX15" s="292"/>
      <c r="EY15" s="292"/>
      <c r="EZ15" s="292"/>
      <c r="FA15" s="292"/>
      <c r="FB15" s="292"/>
      <c r="FC15" s="292"/>
      <c r="FD15" s="292"/>
      <c r="FE15" s="292"/>
      <c r="FF15" s="292"/>
      <c r="FG15" s="292"/>
      <c r="FH15" s="292"/>
      <c r="FI15" s="292"/>
      <c r="FJ15" s="292"/>
      <c r="FK15" s="292"/>
      <c r="FL15" s="292"/>
      <c r="FM15" s="292"/>
      <c r="FN15" s="292"/>
      <c r="FO15" s="292"/>
      <c r="FP15" s="292"/>
      <c r="FQ15" s="292"/>
      <c r="FR15" s="292"/>
      <c r="FS15" s="292"/>
      <c r="FT15" s="292"/>
      <c r="FU15" s="292"/>
      <c r="FV15" s="292"/>
      <c r="FW15" s="292"/>
      <c r="FX15" s="292"/>
      <c r="FY15" s="292"/>
      <c r="FZ15" s="292"/>
      <c r="GA15" s="292"/>
      <c r="GB15" s="292"/>
      <c r="GC15" s="292"/>
      <c r="GD15" s="292"/>
      <c r="GE15" s="292"/>
      <c r="GF15" s="292"/>
      <c r="GG15" s="292"/>
      <c r="GH15" s="292"/>
      <c r="GI15" s="292"/>
      <c r="GJ15" s="292"/>
      <c r="GK15" s="292"/>
      <c r="GL15" s="292"/>
      <c r="GM15" s="292"/>
      <c r="GN15" s="292"/>
      <c r="GO15" s="292"/>
      <c r="GP15" s="292"/>
      <c r="GQ15" s="292"/>
      <c r="GR15" s="292"/>
      <c r="GS15" s="292"/>
      <c r="GT15" s="292"/>
      <c r="GU15" s="292"/>
      <c r="GV15" s="292"/>
      <c r="GW15" s="292"/>
      <c r="GX15" s="292"/>
      <c r="GY15" s="292"/>
      <c r="GZ15" s="292"/>
      <c r="HA15" s="292"/>
      <c r="HB15" s="292"/>
      <c r="HC15" s="292"/>
      <c r="HD15" s="292"/>
      <c r="HE15" s="292"/>
      <c r="HF15" s="292"/>
      <c r="HG15" s="292"/>
      <c r="HH15" s="292"/>
      <c r="HI15" s="292"/>
      <c r="HJ15" s="292"/>
      <c r="HK15" s="292"/>
      <c r="HL15" s="292"/>
      <c r="HM15" s="292"/>
      <c r="HN15" s="292"/>
      <c r="HO15" s="292"/>
      <c r="HP15" s="292"/>
      <c r="HQ15" s="292"/>
      <c r="HR15" s="292"/>
      <c r="HS15" s="292"/>
      <c r="HT15" s="292"/>
      <c r="HU15" s="292"/>
      <c r="HV15" s="292"/>
      <c r="HW15" s="292"/>
    </row>
    <row r="16" spans="1:231" ht="15.6" customHeight="1">
      <c r="A16" s="464" t="s">
        <v>913</v>
      </c>
      <c r="B16" s="395">
        <v>382018000</v>
      </c>
      <c r="C16" s="395">
        <f>ROUND(603081210.21-242492835.9,-3)</f>
        <v>360588000</v>
      </c>
      <c r="D16" s="460"/>
      <c r="E16" s="302">
        <f>(C16/B16)-1</f>
        <v>-5.6096833133517321E-2</v>
      </c>
      <c r="F16" s="963"/>
      <c r="G16" s="288"/>
      <c r="H16" s="288"/>
      <c r="I16" s="288"/>
      <c r="J16" s="288"/>
      <c r="K16" s="925"/>
      <c r="L16" s="922"/>
      <c r="M16" s="926"/>
      <c r="N16" s="922"/>
      <c r="O16" s="922"/>
      <c r="P16" s="922"/>
      <c r="Q16" s="924"/>
      <c r="R16" s="922"/>
      <c r="S16" s="922"/>
      <c r="T16" s="922"/>
      <c r="U16" s="291"/>
      <c r="V16" s="291"/>
      <c r="W16" s="291"/>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2"/>
      <c r="DJ16" s="292"/>
      <c r="DK16" s="292"/>
      <c r="DL16" s="292"/>
      <c r="DM16" s="292"/>
      <c r="DN16" s="292"/>
      <c r="DO16" s="292"/>
      <c r="DP16" s="292"/>
      <c r="DQ16" s="292"/>
      <c r="DR16" s="292"/>
      <c r="DS16" s="292"/>
      <c r="DT16" s="292"/>
      <c r="DU16" s="292"/>
      <c r="DV16" s="292"/>
      <c r="DW16" s="292"/>
      <c r="DX16" s="292"/>
      <c r="DY16" s="292"/>
      <c r="DZ16" s="292"/>
      <c r="EA16" s="292"/>
      <c r="EB16" s="292"/>
      <c r="EC16" s="292"/>
      <c r="ED16" s="292"/>
      <c r="EE16" s="292"/>
      <c r="EF16" s="292"/>
      <c r="EG16" s="292"/>
      <c r="EH16" s="292"/>
      <c r="EI16" s="292"/>
      <c r="EJ16" s="292"/>
      <c r="EK16" s="292"/>
      <c r="EL16" s="292"/>
      <c r="EM16" s="292"/>
      <c r="EN16" s="292"/>
      <c r="EO16" s="292"/>
      <c r="EP16" s="292"/>
      <c r="EQ16" s="292"/>
      <c r="ER16" s="292"/>
      <c r="ES16" s="292"/>
      <c r="ET16" s="292"/>
      <c r="EU16" s="292"/>
      <c r="EV16" s="292"/>
      <c r="EW16" s="292"/>
      <c r="EX16" s="292"/>
      <c r="EY16" s="292"/>
      <c r="EZ16" s="292"/>
      <c r="FA16" s="292"/>
      <c r="FB16" s="292"/>
      <c r="FC16" s="292"/>
      <c r="FD16" s="292"/>
      <c r="FE16" s="292"/>
      <c r="FF16" s="292"/>
      <c r="FG16" s="292"/>
      <c r="FH16" s="292"/>
      <c r="FI16" s="292"/>
      <c r="FJ16" s="292"/>
      <c r="FK16" s="292"/>
      <c r="FL16" s="292"/>
      <c r="FM16" s="292"/>
      <c r="FN16" s="292"/>
      <c r="FO16" s="292"/>
      <c r="FP16" s="292"/>
      <c r="FQ16" s="292"/>
      <c r="FR16" s="292"/>
      <c r="FS16" s="292"/>
      <c r="FT16" s="292"/>
      <c r="FU16" s="292"/>
      <c r="FV16" s="292"/>
      <c r="FW16" s="292"/>
      <c r="FX16" s="292"/>
      <c r="FY16" s="292"/>
      <c r="FZ16" s="292"/>
      <c r="GA16" s="292"/>
      <c r="GB16" s="292"/>
      <c r="GC16" s="292"/>
      <c r="GD16" s="292"/>
      <c r="GE16" s="292"/>
      <c r="GF16" s="292"/>
      <c r="GG16" s="292"/>
      <c r="GH16" s="292"/>
      <c r="GI16" s="292"/>
      <c r="GJ16" s="292"/>
      <c r="GK16" s="292"/>
      <c r="GL16" s="292"/>
      <c r="GM16" s="292"/>
      <c r="GN16" s="292"/>
      <c r="GO16" s="292"/>
      <c r="GP16" s="292"/>
      <c r="GQ16" s="292"/>
      <c r="GR16" s="292"/>
      <c r="GS16" s="292"/>
      <c r="GT16" s="292"/>
      <c r="GU16" s="292"/>
      <c r="GV16" s="292"/>
      <c r="GW16" s="292"/>
      <c r="GX16" s="292"/>
      <c r="GY16" s="292"/>
      <c r="GZ16" s="292"/>
      <c r="HA16" s="292"/>
      <c r="HB16" s="292"/>
      <c r="HC16" s="292"/>
      <c r="HD16" s="292"/>
      <c r="HE16" s="292"/>
      <c r="HF16" s="292"/>
      <c r="HG16" s="292"/>
      <c r="HH16" s="292"/>
      <c r="HI16" s="292"/>
      <c r="HJ16" s="292"/>
      <c r="HK16" s="292"/>
      <c r="HL16" s="292"/>
      <c r="HM16" s="292"/>
      <c r="HN16" s="292"/>
      <c r="HO16" s="292"/>
      <c r="HP16" s="292"/>
      <c r="HQ16" s="292"/>
      <c r="HR16" s="292"/>
      <c r="HS16" s="292"/>
      <c r="HT16" s="292"/>
      <c r="HU16" s="292"/>
      <c r="HV16" s="292"/>
      <c r="HW16" s="292"/>
    </row>
    <row r="17" spans="1:231" ht="9" customHeight="1">
      <c r="A17" s="290"/>
      <c r="B17" s="305"/>
      <c r="C17" s="305"/>
      <c r="E17" s="306"/>
      <c r="F17" s="288"/>
      <c r="G17" s="288"/>
      <c r="H17" s="288"/>
      <c r="I17" s="288"/>
      <c r="J17" s="288"/>
      <c r="K17" s="925"/>
      <c r="L17" s="922"/>
      <c r="M17" s="926"/>
      <c r="N17" s="922"/>
      <c r="O17" s="922"/>
      <c r="P17" s="922"/>
      <c r="Q17" s="922"/>
      <c r="R17" s="922"/>
      <c r="S17" s="922"/>
      <c r="T17" s="922"/>
      <c r="U17" s="291"/>
      <c r="V17" s="291"/>
      <c r="W17" s="291"/>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c r="DJ17" s="292"/>
      <c r="DK17" s="292"/>
      <c r="DL17" s="292"/>
      <c r="DM17" s="292"/>
      <c r="DN17" s="292"/>
      <c r="DO17" s="292"/>
      <c r="DP17" s="292"/>
      <c r="DQ17" s="292"/>
      <c r="DR17" s="292"/>
      <c r="DS17" s="292"/>
      <c r="DT17" s="292"/>
      <c r="DU17" s="292"/>
      <c r="DV17" s="292"/>
      <c r="DW17" s="292"/>
      <c r="DX17" s="292"/>
      <c r="DY17" s="292"/>
      <c r="DZ17" s="292"/>
      <c r="EA17" s="292"/>
      <c r="EB17" s="292"/>
      <c r="EC17" s="292"/>
      <c r="ED17" s="292"/>
      <c r="EE17" s="292"/>
      <c r="EF17" s="292"/>
      <c r="EG17" s="292"/>
      <c r="EH17" s="292"/>
      <c r="EI17" s="292"/>
      <c r="EJ17" s="292"/>
      <c r="EK17" s="292"/>
      <c r="EL17" s="292"/>
      <c r="EM17" s="292"/>
      <c r="EN17" s="292"/>
      <c r="EO17" s="292"/>
      <c r="EP17" s="292"/>
      <c r="EQ17" s="292"/>
      <c r="ER17" s="292"/>
      <c r="ES17" s="292"/>
      <c r="ET17" s="292"/>
      <c r="EU17" s="292"/>
      <c r="EV17" s="292"/>
      <c r="EW17" s="292"/>
      <c r="EX17" s="292"/>
      <c r="EY17" s="292"/>
      <c r="EZ17" s="292"/>
      <c r="FA17" s="292"/>
      <c r="FB17" s="292"/>
      <c r="FC17" s="292"/>
      <c r="FD17" s="292"/>
      <c r="FE17" s="292"/>
      <c r="FF17" s="292"/>
      <c r="FG17" s="292"/>
      <c r="FH17" s="292"/>
      <c r="FI17" s="292"/>
      <c r="FJ17" s="292"/>
      <c r="FK17" s="292"/>
      <c r="FL17" s="292"/>
      <c r="FM17" s="292"/>
      <c r="FN17" s="292"/>
      <c r="FO17" s="292"/>
      <c r="FP17" s="292"/>
      <c r="FQ17" s="292"/>
      <c r="FR17" s="292"/>
      <c r="FS17" s="292"/>
      <c r="FT17" s="292"/>
      <c r="FU17" s="292"/>
      <c r="FV17" s="292"/>
      <c r="FW17" s="292"/>
      <c r="FX17" s="292"/>
      <c r="FY17" s="292"/>
      <c r="FZ17" s="292"/>
      <c r="GA17" s="292"/>
      <c r="GB17" s="292"/>
      <c r="GC17" s="292"/>
      <c r="GD17" s="292"/>
      <c r="GE17" s="292"/>
      <c r="GF17" s="292"/>
      <c r="GG17" s="292"/>
      <c r="GH17" s="292"/>
      <c r="GI17" s="292"/>
      <c r="GJ17" s="292"/>
      <c r="GK17" s="292"/>
      <c r="GL17" s="292"/>
      <c r="GM17" s="292"/>
      <c r="GN17" s="292"/>
      <c r="GO17" s="292"/>
      <c r="GP17" s="292"/>
      <c r="GQ17" s="292"/>
      <c r="GR17" s="292"/>
      <c r="GS17" s="292"/>
      <c r="GT17" s="292"/>
      <c r="GU17" s="292"/>
      <c r="GV17" s="292"/>
      <c r="GW17" s="292"/>
      <c r="GX17" s="292"/>
      <c r="GY17" s="292"/>
      <c r="GZ17" s="292"/>
      <c r="HA17" s="292"/>
      <c r="HB17" s="292"/>
      <c r="HC17" s="292"/>
      <c r="HD17" s="292"/>
      <c r="HE17" s="292"/>
      <c r="HF17" s="292"/>
      <c r="HG17" s="292"/>
      <c r="HH17" s="292"/>
      <c r="HI17" s="292"/>
      <c r="HJ17" s="292"/>
      <c r="HK17" s="292"/>
      <c r="HL17" s="292"/>
      <c r="HM17" s="292"/>
      <c r="HN17" s="292"/>
      <c r="HO17" s="292"/>
      <c r="HP17" s="292"/>
      <c r="HQ17" s="292"/>
      <c r="HR17" s="292"/>
      <c r="HS17" s="292"/>
      <c r="HT17" s="292"/>
      <c r="HU17" s="292"/>
      <c r="HV17" s="292"/>
      <c r="HW17" s="292"/>
    </row>
    <row r="18" spans="1:231" ht="15.6" customHeight="1">
      <c r="A18" s="295" t="s">
        <v>343</v>
      </c>
      <c r="B18" s="307">
        <f>SUM(B7:B16)</f>
        <v>20553037000</v>
      </c>
      <c r="C18" s="307">
        <f>SUM(C7:C16)</f>
        <v>20943678000</v>
      </c>
      <c r="D18" s="308"/>
      <c r="E18" s="309">
        <f>(C18/B18)-1</f>
        <v>1.9006485513552107E-2</v>
      </c>
      <c r="F18" s="303"/>
      <c r="G18" s="288"/>
      <c r="H18" s="288"/>
      <c r="I18" s="288"/>
      <c r="J18" s="288"/>
      <c r="K18" s="925"/>
      <c r="L18" s="922"/>
      <c r="M18" s="926"/>
      <c r="N18" s="922"/>
      <c r="O18" s="922"/>
      <c r="P18" s="922"/>
      <c r="Q18" s="922"/>
      <c r="R18" s="922"/>
      <c r="S18" s="922"/>
      <c r="T18" s="922"/>
      <c r="U18" s="291"/>
      <c r="V18" s="291"/>
      <c r="W18" s="291"/>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c r="DJ18" s="292"/>
      <c r="DK18" s="292"/>
      <c r="DL18" s="292"/>
      <c r="DM18" s="292"/>
      <c r="DN18" s="292"/>
      <c r="DO18" s="292"/>
      <c r="DP18" s="292"/>
      <c r="DQ18" s="292"/>
      <c r="DR18" s="292"/>
      <c r="DS18" s="292"/>
      <c r="DT18" s="292"/>
      <c r="DU18" s="292"/>
      <c r="DV18" s="292"/>
      <c r="DW18" s="292"/>
      <c r="DX18" s="292"/>
      <c r="DY18" s="292"/>
      <c r="DZ18" s="292"/>
      <c r="EA18" s="292"/>
      <c r="EB18" s="292"/>
      <c r="EC18" s="292"/>
      <c r="ED18" s="292"/>
      <c r="EE18" s="292"/>
      <c r="EF18" s="292"/>
      <c r="EG18" s="292"/>
      <c r="EH18" s="292"/>
      <c r="EI18" s="292"/>
      <c r="EJ18" s="292"/>
      <c r="EK18" s="292"/>
      <c r="EL18" s="292"/>
      <c r="EM18" s="292"/>
      <c r="EN18" s="292"/>
      <c r="EO18" s="292"/>
      <c r="EP18" s="292"/>
      <c r="EQ18" s="292"/>
      <c r="ER18" s="292"/>
      <c r="ES18" s="292"/>
      <c r="ET18" s="292"/>
      <c r="EU18" s="292"/>
      <c r="EV18" s="292"/>
      <c r="EW18" s="292"/>
      <c r="EX18" s="292"/>
      <c r="EY18" s="292"/>
      <c r="EZ18" s="292"/>
      <c r="FA18" s="292"/>
      <c r="FB18" s="292"/>
      <c r="FC18" s="292"/>
      <c r="FD18" s="292"/>
      <c r="FE18" s="292"/>
      <c r="FF18" s="292"/>
      <c r="FG18" s="292"/>
      <c r="FH18" s="292"/>
      <c r="FI18" s="292"/>
      <c r="FJ18" s="292"/>
      <c r="FK18" s="292"/>
      <c r="FL18" s="292"/>
      <c r="FM18" s="292"/>
      <c r="FN18" s="292"/>
      <c r="FO18" s="292"/>
      <c r="FP18" s="292"/>
      <c r="FQ18" s="292"/>
      <c r="FR18" s="292"/>
      <c r="FS18" s="292"/>
      <c r="FT18" s="292"/>
      <c r="FU18" s="292"/>
      <c r="FV18" s="292"/>
      <c r="FW18" s="292"/>
      <c r="FX18" s="292"/>
      <c r="FY18" s="292"/>
      <c r="FZ18" s="292"/>
      <c r="GA18" s="292"/>
      <c r="GB18" s="292"/>
      <c r="GC18" s="292"/>
      <c r="GD18" s="292"/>
      <c r="GE18" s="292"/>
      <c r="GF18" s="292"/>
      <c r="GG18" s="292"/>
      <c r="GH18" s="292"/>
      <c r="GI18" s="292"/>
      <c r="GJ18" s="292"/>
      <c r="GK18" s="292"/>
      <c r="GL18" s="292"/>
      <c r="GM18" s="292"/>
      <c r="GN18" s="292"/>
      <c r="GO18" s="292"/>
      <c r="GP18" s="292"/>
      <c r="GQ18" s="292"/>
      <c r="GR18" s="292"/>
      <c r="GS18" s="292"/>
      <c r="GT18" s="292"/>
      <c r="GU18" s="292"/>
      <c r="GV18" s="292"/>
      <c r="GW18" s="292"/>
      <c r="GX18" s="292"/>
      <c r="GY18" s="292"/>
      <c r="GZ18" s="292"/>
      <c r="HA18" s="292"/>
      <c r="HB18" s="292"/>
      <c r="HC18" s="292"/>
      <c r="HD18" s="292"/>
      <c r="HE18" s="292"/>
      <c r="HF18" s="292"/>
      <c r="HG18" s="292"/>
      <c r="HH18" s="292"/>
      <c r="HI18" s="292"/>
      <c r="HJ18" s="292"/>
      <c r="HK18" s="292"/>
      <c r="HL18" s="292"/>
      <c r="HM18" s="292"/>
      <c r="HN18" s="292"/>
      <c r="HO18" s="292"/>
      <c r="HP18" s="292"/>
      <c r="HQ18" s="292"/>
      <c r="HR18" s="292"/>
      <c r="HS18" s="292"/>
      <c r="HT18" s="292"/>
      <c r="HU18" s="292"/>
      <c r="HV18" s="292"/>
      <c r="HW18" s="292"/>
    </row>
    <row r="19" spans="1:231">
      <c r="A19" s="1265"/>
      <c r="B19" s="287"/>
      <c r="C19" s="467"/>
      <c r="E19" s="310"/>
      <c r="F19" s="288"/>
      <c r="G19" s="288"/>
      <c r="H19" s="288"/>
      <c r="I19" s="288"/>
      <c r="J19" s="288"/>
      <c r="K19" s="925"/>
      <c r="L19" s="922"/>
      <c r="M19" s="922"/>
      <c r="N19" s="922"/>
      <c r="O19" s="922"/>
      <c r="P19" s="922"/>
      <c r="Q19" s="922"/>
      <c r="R19" s="922"/>
      <c r="S19" s="922"/>
      <c r="T19" s="922"/>
      <c r="U19" s="291"/>
      <c r="V19" s="291"/>
      <c r="W19" s="291"/>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c r="DJ19" s="292"/>
      <c r="DK19" s="292"/>
      <c r="DL19" s="292"/>
      <c r="DM19" s="292"/>
      <c r="DN19" s="292"/>
      <c r="DO19" s="292"/>
      <c r="DP19" s="292"/>
      <c r="DQ19" s="292"/>
      <c r="DR19" s="292"/>
      <c r="DS19" s="292"/>
      <c r="DT19" s="292"/>
      <c r="DU19" s="292"/>
      <c r="DV19" s="292"/>
      <c r="DW19" s="292"/>
      <c r="DX19" s="292"/>
      <c r="DY19" s="292"/>
      <c r="DZ19" s="292"/>
      <c r="EA19" s="292"/>
      <c r="EB19" s="292"/>
      <c r="EC19" s="292"/>
      <c r="ED19" s="292"/>
      <c r="EE19" s="292"/>
      <c r="EF19" s="292"/>
      <c r="EG19" s="292"/>
      <c r="EH19" s="292"/>
      <c r="EI19" s="292"/>
      <c r="EJ19" s="292"/>
      <c r="EK19" s="292"/>
      <c r="EL19" s="292"/>
      <c r="EM19" s="292"/>
      <c r="EN19" s="292"/>
      <c r="EO19" s="292"/>
      <c r="EP19" s="292"/>
      <c r="EQ19" s="292"/>
      <c r="ER19" s="292"/>
      <c r="ES19" s="292"/>
      <c r="ET19" s="292"/>
      <c r="EU19" s="292"/>
      <c r="EV19" s="292"/>
      <c r="EW19" s="292"/>
      <c r="EX19" s="292"/>
      <c r="EY19" s="292"/>
      <c r="EZ19" s="292"/>
      <c r="FA19" s="292"/>
      <c r="FB19" s="292"/>
      <c r="FC19" s="292"/>
      <c r="FD19" s="292"/>
      <c r="FE19" s="292"/>
      <c r="FF19" s="292"/>
      <c r="FG19" s="292"/>
      <c r="FH19" s="292"/>
      <c r="FI19" s="292"/>
      <c r="FJ19" s="292"/>
      <c r="FK19" s="292"/>
      <c r="FL19" s="292"/>
      <c r="FM19" s="292"/>
      <c r="FN19" s="292"/>
      <c r="FO19" s="292"/>
      <c r="FP19" s="292"/>
      <c r="FQ19" s="292"/>
      <c r="FR19" s="292"/>
      <c r="FS19" s="292"/>
      <c r="FT19" s="292"/>
      <c r="FU19" s="292"/>
      <c r="FV19" s="292"/>
      <c r="FW19" s="292"/>
      <c r="FX19" s="292"/>
      <c r="FY19" s="292"/>
      <c r="FZ19" s="292"/>
      <c r="GA19" s="292"/>
      <c r="GB19" s="292"/>
      <c r="GC19" s="292"/>
      <c r="GD19" s="292"/>
      <c r="GE19" s="292"/>
      <c r="GF19" s="292"/>
      <c r="GG19" s="292"/>
      <c r="GH19" s="292"/>
      <c r="GI19" s="292"/>
      <c r="GJ19" s="292"/>
      <c r="GK19" s="292"/>
      <c r="GL19" s="292"/>
      <c r="GM19" s="292"/>
      <c r="GN19" s="292"/>
      <c r="GO19" s="292"/>
      <c r="GP19" s="292"/>
      <c r="GQ19" s="292"/>
      <c r="GR19" s="292"/>
      <c r="GS19" s="292"/>
      <c r="GT19" s="292"/>
      <c r="GU19" s="292"/>
      <c r="GV19" s="292"/>
      <c r="GW19" s="292"/>
      <c r="GX19" s="292"/>
      <c r="GY19" s="292"/>
      <c r="GZ19" s="292"/>
      <c r="HA19" s="292"/>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row>
    <row r="20" spans="1:231" ht="14.1" customHeight="1">
      <c r="A20" s="295" t="s">
        <v>885</v>
      </c>
      <c r="B20" s="287"/>
      <c r="C20" s="287"/>
      <c r="E20" s="310"/>
      <c r="F20" s="288"/>
      <c r="G20" s="288"/>
      <c r="H20" s="288"/>
      <c r="I20" s="288"/>
      <c r="J20" s="288"/>
      <c r="K20" s="921"/>
      <c r="L20" s="922"/>
      <c r="M20" s="922"/>
      <c r="N20" s="922"/>
      <c r="O20" s="922"/>
      <c r="P20" s="922"/>
      <c r="Q20" s="922"/>
      <c r="R20" s="922"/>
      <c r="S20" s="922"/>
      <c r="T20" s="922"/>
      <c r="U20" s="291"/>
      <c r="V20" s="291"/>
      <c r="W20" s="291"/>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c r="DJ20" s="292"/>
      <c r="DK20" s="292"/>
      <c r="DL20" s="292"/>
      <c r="DM20" s="292"/>
      <c r="DN20" s="292"/>
      <c r="DO20" s="292"/>
      <c r="DP20" s="292"/>
      <c r="DQ20" s="292"/>
      <c r="DR20" s="292"/>
      <c r="DS20" s="292"/>
      <c r="DT20" s="292"/>
      <c r="DU20" s="292"/>
      <c r="DV20" s="292"/>
      <c r="DW20" s="292"/>
      <c r="DX20" s="292"/>
      <c r="DY20" s="292"/>
      <c r="DZ20" s="292"/>
      <c r="EA20" s="292"/>
      <c r="EB20" s="292"/>
      <c r="EC20" s="292"/>
      <c r="ED20" s="292"/>
      <c r="EE20" s="292"/>
      <c r="EF20" s="292"/>
      <c r="EG20" s="292"/>
      <c r="EH20" s="292"/>
      <c r="EI20" s="292"/>
      <c r="EJ20" s="292"/>
      <c r="EK20" s="292"/>
      <c r="EL20" s="292"/>
      <c r="EM20" s="292"/>
      <c r="EN20" s="292"/>
      <c r="EO20" s="292"/>
      <c r="EP20" s="292"/>
      <c r="EQ20" s="292"/>
      <c r="ER20" s="292"/>
      <c r="ES20" s="292"/>
      <c r="ET20" s="292"/>
      <c r="EU20" s="292"/>
      <c r="EV20" s="292"/>
      <c r="EW20" s="292"/>
      <c r="EX20" s="292"/>
      <c r="EY20" s="292"/>
      <c r="EZ20" s="292"/>
      <c r="FA20" s="292"/>
      <c r="FB20" s="292"/>
      <c r="FC20" s="292"/>
      <c r="FD20" s="292"/>
      <c r="FE20" s="292"/>
      <c r="FF20" s="292"/>
      <c r="FG20" s="292"/>
      <c r="FH20" s="292"/>
      <c r="FI20" s="292"/>
      <c r="FJ20" s="292"/>
      <c r="FK20" s="292"/>
      <c r="FL20" s="292"/>
      <c r="FM20" s="292"/>
      <c r="FN20" s="292"/>
      <c r="FO20" s="292"/>
      <c r="FP20" s="292"/>
      <c r="FQ20" s="292"/>
      <c r="FR20" s="292"/>
      <c r="FS20" s="292"/>
      <c r="FT20" s="292"/>
      <c r="FU20" s="292"/>
      <c r="FV20" s="292"/>
      <c r="FW20" s="292"/>
      <c r="FX20" s="292"/>
      <c r="FY20" s="292"/>
      <c r="FZ20" s="292"/>
      <c r="GA20" s="292"/>
      <c r="GB20" s="292"/>
      <c r="GC20" s="292"/>
      <c r="GD20" s="292"/>
      <c r="GE20" s="292"/>
      <c r="GF20" s="292"/>
      <c r="GG20" s="292"/>
      <c r="GH20" s="292"/>
      <c r="GI20" s="292"/>
      <c r="GJ20" s="292"/>
      <c r="GK20" s="292"/>
      <c r="GL20" s="292"/>
      <c r="GM20" s="292"/>
      <c r="GN20" s="292"/>
      <c r="GO20" s="292"/>
      <c r="GP20" s="292"/>
      <c r="GQ20" s="292"/>
      <c r="GR20" s="292"/>
      <c r="GS20" s="292"/>
      <c r="GT20" s="292"/>
      <c r="GU20" s="292"/>
      <c r="GV20" s="292"/>
      <c r="GW20" s="292"/>
      <c r="GX20" s="292"/>
      <c r="GY20" s="292"/>
      <c r="GZ20" s="292"/>
      <c r="HA20" s="292"/>
      <c r="HB20" s="292"/>
      <c r="HC20" s="292"/>
      <c r="HD20" s="292"/>
      <c r="HE20" s="292"/>
      <c r="HF20" s="292"/>
      <c r="HG20" s="292"/>
      <c r="HH20" s="292"/>
      <c r="HI20" s="292"/>
      <c r="HJ20" s="292"/>
      <c r="HK20" s="292"/>
      <c r="HL20" s="292"/>
      <c r="HM20" s="292"/>
      <c r="HN20" s="292"/>
      <c r="HO20" s="292"/>
      <c r="HP20" s="292"/>
      <c r="HQ20" s="292"/>
      <c r="HR20" s="292"/>
      <c r="HS20" s="292"/>
      <c r="HT20" s="292"/>
      <c r="HU20" s="292"/>
      <c r="HV20" s="292"/>
      <c r="HW20" s="292"/>
    </row>
    <row r="21" spans="1:231" ht="15.6" customHeight="1">
      <c r="A21" s="300" t="s">
        <v>344</v>
      </c>
      <c r="B21" s="6">
        <v>12577000</v>
      </c>
      <c r="C21" s="972">
        <f>ROUND(7557161.83+0,-3)</f>
        <v>7557000</v>
      </c>
      <c r="E21" s="302">
        <f>(C21/B21)-1</f>
        <v>-0.39914128965572071</v>
      </c>
      <c r="F21" s="303"/>
      <c r="G21" s="288"/>
      <c r="H21" s="288"/>
      <c r="I21" s="288"/>
      <c r="J21" s="288"/>
      <c r="K21" s="921"/>
      <c r="L21" s="922"/>
      <c r="M21" s="922"/>
      <c r="N21" s="922"/>
      <c r="O21" s="922"/>
      <c r="P21" s="922"/>
      <c r="Q21" s="922"/>
      <c r="R21" s="922"/>
      <c r="S21" s="922"/>
      <c r="T21" s="922"/>
      <c r="U21" s="291"/>
      <c r="V21" s="291"/>
      <c r="W21" s="291"/>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2"/>
      <c r="DC21" s="292"/>
      <c r="DD21" s="292"/>
      <c r="DE21" s="292"/>
      <c r="DF21" s="292"/>
      <c r="DG21" s="292"/>
      <c r="DH21" s="292"/>
      <c r="DI21" s="292"/>
      <c r="DJ21" s="292"/>
      <c r="DK21" s="292"/>
      <c r="DL21" s="292"/>
      <c r="DM21" s="292"/>
      <c r="DN21" s="292"/>
      <c r="DO21" s="292"/>
      <c r="DP21" s="292"/>
      <c r="DQ21" s="292"/>
      <c r="DR21" s="292"/>
      <c r="DS21" s="292"/>
      <c r="DT21" s="292"/>
      <c r="DU21" s="292"/>
      <c r="DV21" s="292"/>
      <c r="DW21" s="292"/>
      <c r="DX21" s="292"/>
      <c r="DY21" s="292"/>
      <c r="DZ21" s="292"/>
      <c r="EA21" s="292"/>
      <c r="EB21" s="292"/>
      <c r="EC21" s="292"/>
      <c r="ED21" s="292"/>
      <c r="EE21" s="292"/>
      <c r="EF21" s="292"/>
      <c r="EG21" s="292"/>
      <c r="EH21" s="292"/>
      <c r="EI21" s="292"/>
      <c r="EJ21" s="292"/>
      <c r="EK21" s="292"/>
      <c r="EL21" s="292"/>
      <c r="EM21" s="292"/>
      <c r="EN21" s="292"/>
      <c r="EO21" s="292"/>
      <c r="EP21" s="292"/>
      <c r="EQ21" s="292"/>
      <c r="ER21" s="292"/>
      <c r="ES21" s="292"/>
      <c r="ET21" s="292"/>
      <c r="EU21" s="292"/>
      <c r="EV21" s="292"/>
      <c r="EW21" s="292"/>
      <c r="EX21" s="292"/>
      <c r="EY21" s="292"/>
      <c r="EZ21" s="292"/>
      <c r="FA21" s="292"/>
      <c r="FB21" s="292"/>
      <c r="FC21" s="292"/>
      <c r="FD21" s="292"/>
      <c r="FE21" s="292"/>
      <c r="FF21" s="292"/>
      <c r="FG21" s="292"/>
      <c r="FH21" s="292"/>
      <c r="FI21" s="292"/>
      <c r="FJ21" s="292"/>
      <c r="FK21" s="292"/>
      <c r="FL21" s="292"/>
      <c r="FM21" s="292"/>
      <c r="FN21" s="292"/>
      <c r="FO21" s="292"/>
      <c r="FP21" s="292"/>
      <c r="FQ21" s="292"/>
      <c r="FR21" s="292"/>
      <c r="FS21" s="292"/>
      <c r="FT21" s="292"/>
      <c r="FU21" s="292"/>
      <c r="FV21" s="292"/>
      <c r="FW21" s="292"/>
      <c r="FX21" s="292"/>
      <c r="FY21" s="292"/>
      <c r="FZ21" s="292"/>
      <c r="GA21" s="292"/>
      <c r="GB21" s="292"/>
      <c r="GC21" s="292"/>
      <c r="GD21" s="292"/>
      <c r="GE21" s="292"/>
      <c r="GF21" s="292"/>
      <c r="GG21" s="292"/>
      <c r="GH21" s="292"/>
      <c r="GI21" s="292"/>
      <c r="GJ21" s="292"/>
      <c r="GK21" s="292"/>
      <c r="GL21" s="292"/>
      <c r="GM21" s="292"/>
      <c r="GN21" s="292"/>
      <c r="GO21" s="292"/>
      <c r="GP21" s="292"/>
      <c r="GQ21" s="292"/>
      <c r="GR21" s="292"/>
      <c r="GS21" s="292"/>
      <c r="GT21" s="292"/>
      <c r="GU21" s="292"/>
      <c r="GV21" s="292"/>
      <c r="GW21" s="292"/>
      <c r="GX21" s="292"/>
      <c r="GY21" s="292"/>
      <c r="GZ21" s="292"/>
      <c r="HA21" s="292"/>
      <c r="HB21" s="292"/>
      <c r="HC21" s="292"/>
      <c r="HD21" s="292"/>
      <c r="HE21" s="292"/>
      <c r="HF21" s="292"/>
      <c r="HG21" s="292"/>
      <c r="HH21" s="292"/>
      <c r="HI21" s="292"/>
      <c r="HJ21" s="292"/>
      <c r="HK21" s="292"/>
      <c r="HL21" s="292"/>
      <c r="HM21" s="292"/>
      <c r="HN21" s="292"/>
      <c r="HO21" s="292"/>
      <c r="HP21" s="292"/>
      <c r="HQ21" s="292"/>
      <c r="HR21" s="292"/>
      <c r="HS21" s="292"/>
      <c r="HT21" s="292"/>
      <c r="HU21" s="292"/>
      <c r="HV21" s="292"/>
      <c r="HW21" s="292"/>
    </row>
    <row r="22" spans="1:231" ht="15.6" customHeight="1">
      <c r="A22" s="300" t="s">
        <v>345</v>
      </c>
      <c r="B22" s="7">
        <v>129451000</v>
      </c>
      <c r="C22" s="836">
        <f>ROUND(131950330.82,-3)</f>
        <v>131950000</v>
      </c>
      <c r="D22" s="818"/>
      <c r="E22" s="302">
        <f>(C22/B22)-1</f>
        <v>1.9304601741199301E-2</v>
      </c>
      <c r="F22" s="303"/>
      <c r="G22" s="288"/>
      <c r="H22" s="288"/>
      <c r="I22" s="288"/>
      <c r="J22" s="288"/>
      <c r="K22" s="925"/>
      <c r="L22" s="922"/>
      <c r="M22" s="926"/>
      <c r="N22" s="922"/>
      <c r="O22" s="922"/>
      <c r="P22" s="922"/>
      <c r="Q22" s="922"/>
      <c r="R22" s="922"/>
      <c r="S22" s="922"/>
      <c r="T22" s="922"/>
      <c r="U22" s="291"/>
      <c r="V22" s="291"/>
      <c r="W22" s="291"/>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2"/>
      <c r="CN22" s="292"/>
      <c r="CO22" s="292"/>
      <c r="CP22" s="292"/>
      <c r="CQ22" s="292"/>
      <c r="CR22" s="292"/>
      <c r="CS22" s="292"/>
      <c r="CT22" s="292"/>
      <c r="CU22" s="292"/>
      <c r="CV22" s="292"/>
      <c r="CW22" s="292"/>
      <c r="CX22" s="292"/>
      <c r="CY22" s="292"/>
      <c r="CZ22" s="292"/>
      <c r="DA22" s="292"/>
      <c r="DB22" s="292"/>
      <c r="DC22" s="292"/>
      <c r="DD22" s="292"/>
      <c r="DE22" s="292"/>
      <c r="DF22" s="292"/>
      <c r="DG22" s="292"/>
      <c r="DH22" s="292"/>
      <c r="DI22" s="292"/>
      <c r="DJ22" s="292"/>
      <c r="DK22" s="292"/>
      <c r="DL22" s="292"/>
      <c r="DM22" s="292"/>
      <c r="DN22" s="292"/>
      <c r="DO22" s="292"/>
      <c r="DP22" s="292"/>
      <c r="DQ22" s="292"/>
      <c r="DR22" s="292"/>
      <c r="DS22" s="292"/>
      <c r="DT22" s="292"/>
      <c r="DU22" s="292"/>
      <c r="DV22" s="292"/>
      <c r="DW22" s="292"/>
      <c r="DX22" s="292"/>
      <c r="DY22" s="292"/>
      <c r="DZ22" s="292"/>
      <c r="EA22" s="292"/>
      <c r="EB22" s="292"/>
      <c r="EC22" s="292"/>
      <c r="ED22" s="292"/>
      <c r="EE22" s="292"/>
      <c r="EF22" s="292"/>
      <c r="EG22" s="292"/>
      <c r="EH22" s="292"/>
      <c r="EI22" s="292"/>
      <c r="EJ22" s="292"/>
      <c r="EK22" s="292"/>
      <c r="EL22" s="292"/>
      <c r="EM22" s="292"/>
      <c r="EN22" s="292"/>
      <c r="EO22" s="292"/>
      <c r="EP22" s="292"/>
      <c r="EQ22" s="292"/>
      <c r="ER22" s="292"/>
      <c r="ES22" s="292"/>
      <c r="ET22" s="292"/>
      <c r="EU22" s="292"/>
      <c r="EV22" s="292"/>
      <c r="EW22" s="292"/>
      <c r="EX22" s="292"/>
      <c r="EY22" s="292"/>
      <c r="EZ22" s="292"/>
      <c r="FA22" s="292"/>
      <c r="FB22" s="292"/>
      <c r="FC22" s="292"/>
      <c r="FD22" s="292"/>
      <c r="FE22" s="292"/>
      <c r="FF22" s="292"/>
      <c r="FG22" s="292"/>
      <c r="FH22" s="292"/>
      <c r="FI22" s="292"/>
      <c r="FJ22" s="292"/>
      <c r="FK22" s="292"/>
      <c r="FL22" s="292"/>
      <c r="FM22" s="292"/>
      <c r="FN22" s="292"/>
      <c r="FO22" s="292"/>
      <c r="FP22" s="292"/>
      <c r="FQ22" s="292"/>
      <c r="FR22" s="292"/>
      <c r="FS22" s="292"/>
      <c r="FT22" s="292"/>
      <c r="FU22" s="292"/>
      <c r="FV22" s="292"/>
      <c r="FW22" s="292"/>
      <c r="FX22" s="292"/>
      <c r="FY22" s="292"/>
      <c r="FZ22" s="292"/>
      <c r="GA22" s="292"/>
      <c r="GB22" s="292"/>
      <c r="GC22" s="292"/>
      <c r="GD22" s="292"/>
      <c r="GE22" s="292"/>
      <c r="GF22" s="292"/>
      <c r="GG22" s="292"/>
      <c r="GH22" s="292"/>
      <c r="GI22" s="292"/>
      <c r="GJ22" s="292"/>
      <c r="GK22" s="292"/>
      <c r="GL22" s="292"/>
      <c r="GM22" s="292"/>
      <c r="GN22" s="292"/>
      <c r="GO22" s="292"/>
      <c r="GP22" s="292"/>
      <c r="GQ22" s="292"/>
      <c r="GR22" s="292"/>
      <c r="GS22" s="292"/>
      <c r="GT22" s="292"/>
      <c r="GU22" s="292"/>
      <c r="GV22" s="292"/>
      <c r="GW22" s="292"/>
      <c r="GX22" s="292"/>
      <c r="GY22" s="292"/>
      <c r="GZ22" s="292"/>
      <c r="HA22" s="292"/>
      <c r="HB22" s="292"/>
      <c r="HC22" s="292"/>
      <c r="HD22" s="292"/>
      <c r="HE22" s="292"/>
      <c r="HF22" s="292"/>
      <c r="HG22" s="292"/>
      <c r="HH22" s="292"/>
      <c r="HI22" s="292"/>
      <c r="HJ22" s="292"/>
      <c r="HK22" s="292"/>
      <c r="HL22" s="292"/>
      <c r="HM22" s="292"/>
      <c r="HN22" s="292"/>
      <c r="HO22" s="292"/>
      <c r="HP22" s="292"/>
      <c r="HQ22" s="292"/>
      <c r="HR22" s="292"/>
      <c r="HS22" s="292"/>
      <c r="HT22" s="292"/>
      <c r="HU22" s="292"/>
      <c r="HV22" s="292"/>
      <c r="HW22" s="292"/>
    </row>
    <row r="23" spans="1:231" ht="15.6" customHeight="1">
      <c r="A23" s="300" t="s">
        <v>346</v>
      </c>
      <c r="B23" s="7">
        <v>21838000</v>
      </c>
      <c r="C23" s="836">
        <f>ROUND(21687544.8,-3)</f>
        <v>21688000</v>
      </c>
      <c r="D23" s="818"/>
      <c r="E23" s="302">
        <f t="shared" ref="E23:E29" si="1">(C23/B23)-1</f>
        <v>-6.8687608755380047E-3</v>
      </c>
      <c r="F23" s="303"/>
      <c r="G23" s="288"/>
      <c r="H23" s="288"/>
      <c r="I23" s="288"/>
      <c r="J23" s="288"/>
      <c r="K23" s="925"/>
      <c r="L23" s="922"/>
      <c r="M23" s="926"/>
      <c r="N23" s="922"/>
      <c r="O23" s="922"/>
      <c r="P23" s="922"/>
      <c r="Q23" s="922"/>
      <c r="R23" s="922"/>
      <c r="S23" s="922"/>
      <c r="T23" s="922"/>
      <c r="U23" s="291"/>
      <c r="V23" s="291"/>
      <c r="W23" s="291"/>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c r="DJ23" s="292"/>
      <c r="DK23" s="292"/>
      <c r="DL23" s="292"/>
      <c r="DM23" s="292"/>
      <c r="DN23" s="292"/>
      <c r="DO23" s="292"/>
      <c r="DP23" s="292"/>
      <c r="DQ23" s="292"/>
      <c r="DR23" s="292"/>
      <c r="DS23" s="292"/>
      <c r="DT23" s="292"/>
      <c r="DU23" s="292"/>
      <c r="DV23" s="292"/>
      <c r="DW23" s="292"/>
      <c r="DX23" s="292"/>
      <c r="DY23" s="292"/>
      <c r="DZ23" s="292"/>
      <c r="EA23" s="292"/>
      <c r="EB23" s="292"/>
      <c r="EC23" s="292"/>
      <c r="ED23" s="292"/>
      <c r="EE23" s="292"/>
      <c r="EF23" s="292"/>
      <c r="EG23" s="292"/>
      <c r="EH23" s="292"/>
      <c r="EI23" s="292"/>
      <c r="EJ23" s="292"/>
      <c r="EK23" s="292"/>
      <c r="EL23" s="292"/>
      <c r="EM23" s="292"/>
      <c r="EN23" s="292"/>
      <c r="EO23" s="292"/>
      <c r="EP23" s="292"/>
      <c r="EQ23" s="292"/>
      <c r="ER23" s="292"/>
      <c r="ES23" s="292"/>
      <c r="ET23" s="292"/>
      <c r="EU23" s="292"/>
      <c r="EV23" s="292"/>
      <c r="EW23" s="292"/>
      <c r="EX23" s="292"/>
      <c r="EY23" s="292"/>
      <c r="EZ23" s="292"/>
      <c r="FA23" s="292"/>
      <c r="FB23" s="292"/>
      <c r="FC23" s="292"/>
      <c r="FD23" s="292"/>
      <c r="FE23" s="292"/>
      <c r="FF23" s="292"/>
      <c r="FG23" s="292"/>
      <c r="FH23" s="292"/>
      <c r="FI23" s="292"/>
      <c r="FJ23" s="292"/>
      <c r="FK23" s="292"/>
      <c r="FL23" s="292"/>
      <c r="FM23" s="292"/>
      <c r="FN23" s="292"/>
      <c r="FO23" s="292"/>
      <c r="FP23" s="292"/>
      <c r="FQ23" s="292"/>
      <c r="FR23" s="292"/>
      <c r="FS23" s="292"/>
      <c r="FT23" s="292"/>
      <c r="FU23" s="292"/>
      <c r="FV23" s="292"/>
      <c r="FW23" s="292"/>
      <c r="FX23" s="292"/>
      <c r="FY23" s="292"/>
      <c r="FZ23" s="292"/>
      <c r="GA23" s="292"/>
      <c r="GB23" s="292"/>
      <c r="GC23" s="292"/>
      <c r="GD23" s="292"/>
      <c r="GE23" s="292"/>
      <c r="GF23" s="292"/>
      <c r="GG23" s="292"/>
      <c r="GH23" s="292"/>
      <c r="GI23" s="292"/>
      <c r="GJ23" s="292"/>
      <c r="GK23" s="292"/>
      <c r="GL23" s="292"/>
      <c r="GM23" s="292"/>
      <c r="GN23" s="292"/>
      <c r="GO23" s="292"/>
      <c r="GP23" s="292"/>
      <c r="GQ23" s="292"/>
      <c r="GR23" s="292"/>
      <c r="GS23" s="292"/>
      <c r="GT23" s="292"/>
      <c r="GU23" s="292"/>
      <c r="GV23" s="292"/>
      <c r="GW23" s="292"/>
      <c r="GX23" s="292"/>
      <c r="GY23" s="292"/>
      <c r="GZ23" s="292"/>
      <c r="HA23" s="292"/>
      <c r="HB23" s="292"/>
      <c r="HC23" s="292"/>
      <c r="HD23" s="292"/>
      <c r="HE23" s="292"/>
      <c r="HF23" s="292"/>
      <c r="HG23" s="292"/>
      <c r="HH23" s="292"/>
      <c r="HI23" s="292"/>
      <c r="HJ23" s="292"/>
      <c r="HK23" s="292"/>
      <c r="HL23" s="292"/>
      <c r="HM23" s="292"/>
      <c r="HN23" s="292"/>
      <c r="HO23" s="292"/>
      <c r="HP23" s="292"/>
      <c r="HQ23" s="292"/>
      <c r="HR23" s="292"/>
      <c r="HS23" s="292"/>
      <c r="HT23" s="292"/>
      <c r="HU23" s="292"/>
      <c r="HV23" s="292"/>
      <c r="HW23" s="292"/>
    </row>
    <row r="24" spans="1:231" ht="15.6" customHeight="1">
      <c r="A24" s="300" t="s">
        <v>347</v>
      </c>
      <c r="B24" s="311">
        <v>205000</v>
      </c>
      <c r="C24" s="395">
        <f>ROUND(207801.87+0,-3)</f>
        <v>208000</v>
      </c>
      <c r="D24" s="818"/>
      <c r="E24" s="302">
        <f t="shared" si="1"/>
        <v>1.4634146341463428E-2</v>
      </c>
      <c r="F24" s="303"/>
      <c r="G24" s="288"/>
      <c r="H24" s="288"/>
      <c r="I24" s="288"/>
      <c r="J24" s="288"/>
      <c r="K24" s="925"/>
      <c r="L24" s="922"/>
      <c r="M24" s="926"/>
      <c r="N24" s="922"/>
      <c r="O24" s="922"/>
      <c r="P24" s="922"/>
      <c r="Q24" s="922"/>
      <c r="R24" s="922"/>
      <c r="S24" s="922"/>
      <c r="T24" s="922"/>
      <c r="U24" s="291"/>
      <c r="V24" s="291"/>
      <c r="W24" s="291"/>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2"/>
      <c r="CN24" s="292"/>
      <c r="CO24" s="292"/>
      <c r="CP24" s="292"/>
      <c r="CQ24" s="292"/>
      <c r="CR24" s="292"/>
      <c r="CS24" s="292"/>
      <c r="CT24" s="292"/>
      <c r="CU24" s="292"/>
      <c r="CV24" s="292"/>
      <c r="CW24" s="292"/>
      <c r="CX24" s="292"/>
      <c r="CY24" s="292"/>
      <c r="CZ24" s="292"/>
      <c r="DA24" s="292"/>
      <c r="DB24" s="292"/>
      <c r="DC24" s="292"/>
      <c r="DD24" s="292"/>
      <c r="DE24" s="292"/>
      <c r="DF24" s="292"/>
      <c r="DG24" s="292"/>
      <c r="DH24" s="292"/>
      <c r="DI24" s="292"/>
      <c r="DJ24" s="292"/>
      <c r="DK24" s="292"/>
      <c r="DL24" s="292"/>
      <c r="DM24" s="292"/>
      <c r="DN24" s="292"/>
      <c r="DO24" s="292"/>
      <c r="DP24" s="292"/>
      <c r="DQ24" s="292"/>
      <c r="DR24" s="292"/>
      <c r="DS24" s="292"/>
      <c r="DT24" s="292"/>
      <c r="DU24" s="292"/>
      <c r="DV24" s="292"/>
      <c r="DW24" s="292"/>
      <c r="DX24" s="292"/>
      <c r="DY24" s="292"/>
      <c r="DZ24" s="292"/>
      <c r="EA24" s="292"/>
      <c r="EB24" s="292"/>
      <c r="EC24" s="292"/>
      <c r="ED24" s="292"/>
      <c r="EE24" s="292"/>
      <c r="EF24" s="292"/>
      <c r="EG24" s="292"/>
      <c r="EH24" s="292"/>
      <c r="EI24" s="292"/>
      <c r="EJ24" s="292"/>
      <c r="EK24" s="292"/>
      <c r="EL24" s="292"/>
      <c r="EM24" s="292"/>
      <c r="EN24" s="292"/>
      <c r="EO24" s="292"/>
      <c r="EP24" s="292"/>
      <c r="EQ24" s="292"/>
      <c r="ER24" s="292"/>
      <c r="ES24" s="292"/>
      <c r="ET24" s="292"/>
      <c r="EU24" s="292"/>
      <c r="EV24" s="292"/>
      <c r="EW24" s="292"/>
      <c r="EX24" s="292"/>
      <c r="EY24" s="292"/>
      <c r="EZ24" s="292"/>
      <c r="FA24" s="292"/>
      <c r="FB24" s="292"/>
      <c r="FC24" s="292"/>
      <c r="FD24" s="292"/>
      <c r="FE24" s="292"/>
      <c r="FF24" s="292"/>
      <c r="FG24" s="292"/>
      <c r="FH24" s="292"/>
      <c r="FI24" s="292"/>
      <c r="FJ24" s="292"/>
      <c r="FK24" s="292"/>
      <c r="FL24" s="292"/>
      <c r="FM24" s="292"/>
      <c r="FN24" s="292"/>
      <c r="FO24" s="292"/>
      <c r="FP24" s="292"/>
      <c r="FQ24" s="292"/>
      <c r="FR24" s="292"/>
      <c r="FS24" s="292"/>
      <c r="FT24" s="292"/>
      <c r="FU24" s="292"/>
      <c r="FV24" s="292"/>
      <c r="FW24" s="292"/>
      <c r="FX24" s="292"/>
      <c r="FY24" s="292"/>
      <c r="FZ24" s="292"/>
      <c r="GA24" s="292"/>
      <c r="GB24" s="292"/>
      <c r="GC24" s="292"/>
      <c r="GD24" s="292"/>
      <c r="GE24" s="292"/>
      <c r="GF24" s="292"/>
      <c r="GG24" s="292"/>
      <c r="GH24" s="292"/>
      <c r="GI24" s="292"/>
      <c r="GJ24" s="292"/>
      <c r="GK24" s="292"/>
      <c r="GL24" s="292"/>
      <c r="GM24" s="292"/>
      <c r="GN24" s="292"/>
      <c r="GO24" s="292"/>
      <c r="GP24" s="292"/>
      <c r="GQ24" s="292"/>
      <c r="GR24" s="292"/>
      <c r="GS24" s="292"/>
      <c r="GT24" s="292"/>
      <c r="GU24" s="292"/>
      <c r="GV24" s="292"/>
      <c r="GW24" s="292"/>
      <c r="GX24" s="292"/>
      <c r="GY24" s="292"/>
      <c r="GZ24" s="292"/>
      <c r="HA24" s="292"/>
      <c r="HB24" s="292"/>
      <c r="HC24" s="292"/>
      <c r="HD24" s="292"/>
      <c r="HE24" s="292"/>
      <c r="HF24" s="292"/>
      <c r="HG24" s="292"/>
      <c r="HH24" s="292"/>
      <c r="HI24" s="292"/>
      <c r="HJ24" s="292"/>
      <c r="HK24" s="292"/>
      <c r="HL24" s="292"/>
      <c r="HM24" s="292"/>
      <c r="HN24" s="292"/>
      <c r="HO24" s="292"/>
      <c r="HP24" s="292"/>
      <c r="HQ24" s="292"/>
      <c r="HR24" s="292"/>
      <c r="HS24" s="292"/>
      <c r="HT24" s="292"/>
      <c r="HU24" s="292"/>
      <c r="HV24" s="292"/>
      <c r="HW24" s="292"/>
    </row>
    <row r="25" spans="1:231" ht="15.6" customHeight="1">
      <c r="A25" s="300" t="s">
        <v>348</v>
      </c>
      <c r="B25" s="311">
        <v>2604000</v>
      </c>
      <c r="C25" s="395">
        <f>ROUND(1840522.66+614428.88, -3)</f>
        <v>2455000</v>
      </c>
      <c r="D25" s="818"/>
      <c r="E25" s="302">
        <f t="shared" si="1"/>
        <v>-5.7219662058371701E-2</v>
      </c>
      <c r="F25" s="303"/>
      <c r="G25" s="288"/>
      <c r="H25" s="288"/>
      <c r="I25" s="288"/>
      <c r="J25" s="288"/>
      <c r="K25" s="925"/>
      <c r="L25" s="922"/>
      <c r="M25" s="926"/>
      <c r="N25" s="922"/>
      <c r="O25" s="922"/>
      <c r="P25" s="922"/>
      <c r="Q25" s="922"/>
      <c r="R25" s="922"/>
      <c r="S25" s="922"/>
      <c r="T25" s="922"/>
      <c r="U25" s="291"/>
      <c r="V25" s="291"/>
      <c r="W25" s="291"/>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2"/>
      <c r="DC25" s="292"/>
      <c r="DD25" s="292"/>
      <c r="DE25" s="292"/>
      <c r="DF25" s="292"/>
      <c r="DG25" s="292"/>
      <c r="DH25" s="292"/>
      <c r="DI25" s="292"/>
      <c r="DJ25" s="292"/>
      <c r="DK25" s="292"/>
      <c r="DL25" s="292"/>
      <c r="DM25" s="292"/>
      <c r="DN25" s="292"/>
      <c r="DO25" s="292"/>
      <c r="DP25" s="292"/>
      <c r="DQ25" s="292"/>
      <c r="DR25" s="292"/>
      <c r="DS25" s="292"/>
      <c r="DT25" s="292"/>
      <c r="DU25" s="292"/>
      <c r="DV25" s="292"/>
      <c r="DW25" s="292"/>
      <c r="DX25" s="292"/>
      <c r="DY25" s="292"/>
      <c r="DZ25" s="292"/>
      <c r="EA25" s="292"/>
      <c r="EB25" s="292"/>
      <c r="EC25" s="292"/>
      <c r="ED25" s="292"/>
      <c r="EE25" s="292"/>
      <c r="EF25" s="292"/>
      <c r="EG25" s="292"/>
      <c r="EH25" s="292"/>
      <c r="EI25" s="292"/>
      <c r="EJ25" s="292"/>
      <c r="EK25" s="292"/>
      <c r="EL25" s="292"/>
      <c r="EM25" s="292"/>
      <c r="EN25" s="292"/>
      <c r="EO25" s="292"/>
      <c r="EP25" s="292"/>
      <c r="EQ25" s="292"/>
      <c r="ER25" s="292"/>
      <c r="ES25" s="292"/>
      <c r="ET25" s="292"/>
      <c r="EU25" s="292"/>
      <c r="EV25" s="292"/>
      <c r="EW25" s="292"/>
      <c r="EX25" s="292"/>
      <c r="EY25" s="292"/>
      <c r="EZ25" s="292"/>
      <c r="FA25" s="292"/>
      <c r="FB25" s="292"/>
      <c r="FC25" s="292"/>
      <c r="FD25" s="292"/>
      <c r="FE25" s="292"/>
      <c r="FF25" s="292"/>
      <c r="FG25" s="292"/>
      <c r="FH25" s="292"/>
      <c r="FI25" s="292"/>
      <c r="FJ25" s="292"/>
      <c r="FK25" s="292"/>
      <c r="FL25" s="292"/>
      <c r="FM25" s="292"/>
      <c r="FN25" s="292"/>
      <c r="FO25" s="292"/>
      <c r="FP25" s="292"/>
      <c r="FQ25" s="292"/>
      <c r="FR25" s="292"/>
      <c r="FS25" s="292"/>
      <c r="FT25" s="292"/>
      <c r="FU25" s="292"/>
      <c r="FV25" s="292"/>
      <c r="FW25" s="292"/>
      <c r="FX25" s="292"/>
      <c r="FY25" s="292"/>
      <c r="FZ25" s="292"/>
      <c r="GA25" s="292"/>
      <c r="GB25" s="292"/>
      <c r="GC25" s="292"/>
      <c r="GD25" s="292"/>
      <c r="GE25" s="292"/>
      <c r="GF25" s="292"/>
      <c r="GG25" s="292"/>
      <c r="GH25" s="292"/>
      <c r="GI25" s="292"/>
      <c r="GJ25" s="292"/>
      <c r="GK25" s="292"/>
      <c r="GL25" s="292"/>
      <c r="GM25" s="292"/>
      <c r="GN25" s="292"/>
      <c r="GO25" s="292"/>
      <c r="GP25" s="292"/>
      <c r="GQ25" s="292"/>
      <c r="GR25" s="292"/>
      <c r="GS25" s="292"/>
      <c r="GT25" s="292"/>
      <c r="GU25" s="292"/>
      <c r="GV25" s="292"/>
      <c r="GW25" s="292"/>
      <c r="GX25" s="292"/>
      <c r="GY25" s="292"/>
      <c r="GZ25" s="292"/>
      <c r="HA25" s="292"/>
      <c r="HB25" s="292"/>
      <c r="HC25" s="292"/>
      <c r="HD25" s="292"/>
      <c r="HE25" s="292"/>
      <c r="HF25" s="292"/>
      <c r="HG25" s="292"/>
      <c r="HH25" s="292"/>
      <c r="HI25" s="292"/>
      <c r="HJ25" s="292"/>
      <c r="HK25" s="292"/>
      <c r="HL25" s="292"/>
      <c r="HM25" s="292"/>
      <c r="HN25" s="292"/>
      <c r="HO25" s="292"/>
      <c r="HP25" s="292"/>
      <c r="HQ25" s="292"/>
      <c r="HR25" s="292"/>
      <c r="HS25" s="292"/>
      <c r="HT25" s="292"/>
      <c r="HU25" s="292"/>
      <c r="HV25" s="292"/>
      <c r="HW25" s="292"/>
    </row>
    <row r="26" spans="1:231" ht="15.6" customHeight="1">
      <c r="A26" s="300" t="s">
        <v>349</v>
      </c>
      <c r="B26" s="311">
        <v>309000</v>
      </c>
      <c r="C26" s="395">
        <f>ROUND(365532.86,-3)</f>
        <v>366000</v>
      </c>
      <c r="D26" s="818"/>
      <c r="E26" s="397">
        <f t="shared" si="1"/>
        <v>0.18446601941747565</v>
      </c>
      <c r="F26" s="303"/>
      <c r="G26" s="288"/>
      <c r="H26" s="288"/>
      <c r="I26" s="288"/>
      <c r="J26" s="288"/>
      <c r="K26" s="925"/>
      <c r="L26" s="922"/>
      <c r="M26" s="926"/>
      <c r="N26" s="922"/>
      <c r="O26" s="922"/>
      <c r="P26" s="922"/>
      <c r="Q26" s="922"/>
      <c r="R26" s="922"/>
      <c r="S26" s="922"/>
      <c r="T26" s="922"/>
      <c r="U26" s="291"/>
      <c r="V26" s="291"/>
      <c r="W26" s="291"/>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c r="DJ26" s="292"/>
      <c r="DK26" s="292"/>
      <c r="DL26" s="292"/>
      <c r="DM26" s="292"/>
      <c r="DN26" s="292"/>
      <c r="DO26" s="292"/>
      <c r="DP26" s="292"/>
      <c r="DQ26" s="292"/>
      <c r="DR26" s="292"/>
      <c r="DS26" s="292"/>
      <c r="DT26" s="292"/>
      <c r="DU26" s="292"/>
      <c r="DV26" s="292"/>
      <c r="DW26" s="292"/>
      <c r="DX26" s="292"/>
      <c r="DY26" s="292"/>
      <c r="DZ26" s="292"/>
      <c r="EA26" s="292"/>
      <c r="EB26" s="292"/>
      <c r="EC26" s="292"/>
      <c r="ED26" s="292"/>
      <c r="EE26" s="292"/>
      <c r="EF26" s="292"/>
      <c r="EG26" s="292"/>
      <c r="EH26" s="292"/>
      <c r="EI26" s="292"/>
      <c r="EJ26" s="292"/>
      <c r="EK26" s="292"/>
      <c r="EL26" s="292"/>
      <c r="EM26" s="292"/>
      <c r="EN26" s="292"/>
      <c r="EO26" s="292"/>
      <c r="EP26" s="292"/>
      <c r="EQ26" s="292"/>
      <c r="ER26" s="292"/>
      <c r="ES26" s="292"/>
      <c r="ET26" s="292"/>
      <c r="EU26" s="292"/>
      <c r="EV26" s="292"/>
      <c r="EW26" s="292"/>
      <c r="EX26" s="292"/>
      <c r="EY26" s="292"/>
      <c r="EZ26" s="292"/>
      <c r="FA26" s="292"/>
      <c r="FB26" s="292"/>
      <c r="FC26" s="292"/>
      <c r="FD26" s="292"/>
      <c r="FE26" s="292"/>
      <c r="FF26" s="292"/>
      <c r="FG26" s="292"/>
      <c r="FH26" s="292"/>
      <c r="FI26" s="292"/>
      <c r="FJ26" s="292"/>
      <c r="FK26" s="292"/>
      <c r="FL26" s="292"/>
      <c r="FM26" s="292"/>
      <c r="FN26" s="292"/>
      <c r="FO26" s="292"/>
      <c r="FP26" s="292"/>
      <c r="FQ26" s="292"/>
      <c r="FR26" s="292"/>
      <c r="FS26" s="292"/>
      <c r="FT26" s="292"/>
      <c r="FU26" s="292"/>
      <c r="FV26" s="292"/>
      <c r="FW26" s="292"/>
      <c r="FX26" s="292"/>
      <c r="FY26" s="292"/>
      <c r="FZ26" s="292"/>
      <c r="GA26" s="292"/>
      <c r="GB26" s="292"/>
      <c r="GC26" s="292"/>
      <c r="GD26" s="292"/>
      <c r="GE26" s="292"/>
      <c r="GF26" s="292"/>
      <c r="GG26" s="292"/>
      <c r="GH26" s="292"/>
      <c r="GI26" s="292"/>
      <c r="GJ26" s="292"/>
      <c r="GK26" s="292"/>
      <c r="GL26" s="292"/>
      <c r="GM26" s="292"/>
      <c r="GN26" s="292"/>
      <c r="GO26" s="292"/>
      <c r="GP26" s="292"/>
      <c r="GQ26" s="292"/>
      <c r="GR26" s="292"/>
      <c r="GS26" s="292"/>
      <c r="GT26" s="292"/>
      <c r="GU26" s="292"/>
      <c r="GV26" s="292"/>
      <c r="GW26" s="292"/>
      <c r="GX26" s="292"/>
      <c r="GY26" s="292"/>
      <c r="GZ26" s="292"/>
      <c r="HA26" s="292"/>
      <c r="HB26" s="292"/>
      <c r="HC26" s="292"/>
      <c r="HD26" s="292"/>
      <c r="HE26" s="292"/>
      <c r="HF26" s="292"/>
      <c r="HG26" s="292"/>
      <c r="HH26" s="292"/>
      <c r="HI26" s="292"/>
      <c r="HJ26" s="292"/>
      <c r="HK26" s="292"/>
      <c r="HL26" s="292"/>
      <c r="HM26" s="292"/>
      <c r="HN26" s="292"/>
      <c r="HO26" s="292"/>
      <c r="HP26" s="292"/>
      <c r="HQ26" s="292"/>
      <c r="HR26" s="292"/>
      <c r="HS26" s="292"/>
      <c r="HT26" s="292"/>
      <c r="HU26" s="292"/>
      <c r="HV26" s="292"/>
      <c r="HW26" s="292"/>
    </row>
    <row r="27" spans="1:231" ht="15.6" customHeight="1">
      <c r="A27" s="300" t="s">
        <v>350</v>
      </c>
      <c r="B27" s="311">
        <v>1050000</v>
      </c>
      <c r="C27" s="395">
        <f>ROUND(934707.14+0,-3)</f>
        <v>935000</v>
      </c>
      <c r="D27" s="818"/>
      <c r="E27" s="397">
        <f t="shared" si="1"/>
        <v>-0.10952380952380958</v>
      </c>
      <c r="F27" s="303"/>
      <c r="G27" s="288"/>
      <c r="H27" s="288"/>
      <c r="I27" s="288"/>
      <c r="J27" s="288"/>
      <c r="K27" s="925"/>
      <c r="L27" s="566"/>
      <c r="M27" s="975"/>
      <c r="N27" s="566"/>
      <c r="O27" s="922"/>
      <c r="P27" s="922"/>
      <c r="Q27" s="922"/>
      <c r="R27" s="922"/>
      <c r="S27" s="922"/>
      <c r="T27" s="922"/>
      <c r="U27" s="291"/>
      <c r="V27" s="291"/>
      <c r="W27" s="291"/>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c r="DJ27" s="292"/>
      <c r="DK27" s="292"/>
      <c r="DL27" s="292"/>
      <c r="DM27" s="292"/>
      <c r="DN27" s="292"/>
      <c r="DO27" s="292"/>
      <c r="DP27" s="292"/>
      <c r="DQ27" s="292"/>
      <c r="DR27" s="292"/>
      <c r="DS27" s="292"/>
      <c r="DT27" s="292"/>
      <c r="DU27" s="292"/>
      <c r="DV27" s="292"/>
      <c r="DW27" s="292"/>
      <c r="DX27" s="292"/>
      <c r="DY27" s="292"/>
      <c r="DZ27" s="292"/>
      <c r="EA27" s="292"/>
      <c r="EB27" s="292"/>
      <c r="EC27" s="292"/>
      <c r="ED27" s="292"/>
      <c r="EE27" s="292"/>
      <c r="EF27" s="292"/>
      <c r="EG27" s="292"/>
      <c r="EH27" s="292"/>
      <c r="EI27" s="292"/>
      <c r="EJ27" s="292"/>
      <c r="EK27" s="292"/>
      <c r="EL27" s="292"/>
      <c r="EM27" s="292"/>
      <c r="EN27" s="292"/>
      <c r="EO27" s="292"/>
      <c r="EP27" s="292"/>
      <c r="EQ27" s="292"/>
      <c r="ER27" s="292"/>
      <c r="ES27" s="292"/>
      <c r="ET27" s="292"/>
      <c r="EU27" s="292"/>
      <c r="EV27" s="292"/>
      <c r="EW27" s="292"/>
      <c r="EX27" s="292"/>
      <c r="EY27" s="292"/>
      <c r="EZ27" s="292"/>
      <c r="FA27" s="292"/>
      <c r="FB27" s="292"/>
      <c r="FC27" s="292"/>
      <c r="FD27" s="292"/>
      <c r="FE27" s="292"/>
      <c r="FF27" s="292"/>
      <c r="FG27" s="292"/>
      <c r="FH27" s="292"/>
      <c r="FI27" s="292"/>
      <c r="FJ27" s="292"/>
      <c r="FK27" s="292"/>
      <c r="FL27" s="292"/>
      <c r="FM27" s="292"/>
      <c r="FN27" s="292"/>
      <c r="FO27" s="292"/>
      <c r="FP27" s="292"/>
      <c r="FQ27" s="292"/>
      <c r="FR27" s="292"/>
      <c r="FS27" s="292"/>
      <c r="FT27" s="292"/>
      <c r="FU27" s="292"/>
      <c r="FV27" s="292"/>
      <c r="FW27" s="292"/>
      <c r="FX27" s="292"/>
      <c r="FY27" s="292"/>
      <c r="FZ27" s="292"/>
      <c r="GA27" s="292"/>
      <c r="GB27" s="292"/>
      <c r="GC27" s="292"/>
      <c r="GD27" s="292"/>
      <c r="GE27" s="292"/>
      <c r="GF27" s="292"/>
      <c r="GG27" s="292"/>
      <c r="GH27" s="292"/>
      <c r="GI27" s="292"/>
      <c r="GJ27" s="292"/>
      <c r="GK27" s="292"/>
      <c r="GL27" s="292"/>
      <c r="GM27" s="292"/>
      <c r="GN27" s="292"/>
      <c r="GO27" s="292"/>
      <c r="GP27" s="292"/>
      <c r="GQ27" s="292"/>
      <c r="GR27" s="292"/>
      <c r="GS27" s="292"/>
      <c r="GT27" s="292"/>
      <c r="GU27" s="292"/>
      <c r="GV27" s="292"/>
      <c r="GW27" s="292"/>
      <c r="GX27" s="292"/>
      <c r="GY27" s="292"/>
      <c r="GZ27" s="292"/>
      <c r="HA27" s="292"/>
      <c r="HB27" s="292"/>
      <c r="HC27" s="292"/>
      <c r="HD27" s="292"/>
      <c r="HE27" s="292"/>
      <c r="HF27" s="292"/>
      <c r="HG27" s="292"/>
      <c r="HH27" s="292"/>
      <c r="HI27" s="292"/>
      <c r="HJ27" s="292"/>
      <c r="HK27" s="292"/>
      <c r="HL27" s="292"/>
      <c r="HM27" s="292"/>
      <c r="HN27" s="292"/>
      <c r="HO27" s="292"/>
      <c r="HP27" s="292"/>
      <c r="HQ27" s="292"/>
      <c r="HR27" s="292"/>
      <c r="HS27" s="292"/>
      <c r="HT27" s="292"/>
      <c r="HU27" s="292"/>
      <c r="HV27" s="292"/>
      <c r="HW27" s="292"/>
    </row>
    <row r="28" spans="1:231" ht="15.6" customHeight="1">
      <c r="A28" s="300" t="s">
        <v>866</v>
      </c>
      <c r="B28" s="311">
        <v>649451000</v>
      </c>
      <c r="C28" s="395">
        <f>ROUND(26831467.7+508394214.76+93910136.99+15332267.26+33555422.32,-3)</f>
        <v>678024000</v>
      </c>
      <c r="D28" s="818"/>
      <c r="E28" s="302">
        <f t="shared" si="1"/>
        <v>4.3995620916743583E-2</v>
      </c>
      <c r="F28" s="303"/>
      <c r="G28" s="288"/>
      <c r="H28" s="288"/>
      <c r="I28" s="288"/>
      <c r="J28" s="288"/>
      <c r="K28" s="925"/>
      <c r="L28" s="566"/>
      <c r="M28" s="975"/>
      <c r="N28" s="566"/>
      <c r="O28" s="566"/>
      <c r="P28" s="922"/>
      <c r="Q28" s="922"/>
      <c r="R28" s="922"/>
      <c r="S28" s="922"/>
      <c r="T28" s="922"/>
      <c r="U28" s="291"/>
      <c r="V28" s="291"/>
      <c r="W28" s="291"/>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c r="DJ28" s="292"/>
      <c r="DK28" s="292"/>
      <c r="DL28" s="292"/>
      <c r="DM28" s="292"/>
      <c r="DN28" s="292"/>
      <c r="DO28" s="292"/>
      <c r="DP28" s="292"/>
      <c r="DQ28" s="292"/>
      <c r="DR28" s="292"/>
      <c r="DS28" s="292"/>
      <c r="DT28" s="292"/>
      <c r="DU28" s="292"/>
      <c r="DV28" s="292"/>
      <c r="DW28" s="292"/>
      <c r="DX28" s="292"/>
      <c r="DY28" s="292"/>
      <c r="DZ28" s="292"/>
      <c r="EA28" s="292"/>
      <c r="EB28" s="292"/>
      <c r="EC28" s="292"/>
      <c r="ED28" s="292"/>
      <c r="EE28" s="292"/>
      <c r="EF28" s="292"/>
      <c r="EG28" s="292"/>
      <c r="EH28" s="292"/>
      <c r="EI28" s="292"/>
      <c r="EJ28" s="292"/>
      <c r="EK28" s="292"/>
      <c r="EL28" s="292"/>
      <c r="EM28" s="292"/>
      <c r="EN28" s="292"/>
      <c r="EO28" s="292"/>
      <c r="EP28" s="292"/>
      <c r="EQ28" s="292"/>
      <c r="ER28" s="292"/>
      <c r="ES28" s="292"/>
      <c r="ET28" s="292"/>
      <c r="EU28" s="292"/>
      <c r="EV28" s="292"/>
      <c r="EW28" s="292"/>
      <c r="EX28" s="292"/>
      <c r="EY28" s="292"/>
      <c r="EZ28" s="292"/>
      <c r="FA28" s="292"/>
      <c r="FB28" s="292"/>
      <c r="FC28" s="292"/>
      <c r="FD28" s="292"/>
      <c r="FE28" s="292"/>
      <c r="FF28" s="292"/>
      <c r="FG28" s="292"/>
      <c r="FH28" s="292"/>
      <c r="FI28" s="292"/>
      <c r="FJ28" s="292"/>
      <c r="FK28" s="292"/>
      <c r="FL28" s="292"/>
      <c r="FM28" s="292"/>
      <c r="FN28" s="292"/>
      <c r="FO28" s="292"/>
      <c r="FP28" s="292"/>
      <c r="FQ28" s="292"/>
      <c r="FR28" s="292"/>
      <c r="FS28" s="292"/>
      <c r="FT28" s="292"/>
      <c r="FU28" s="292"/>
      <c r="FV28" s="292"/>
      <c r="FW28" s="292"/>
      <c r="FX28" s="292"/>
      <c r="FY28" s="292"/>
      <c r="FZ28" s="292"/>
      <c r="GA28" s="292"/>
      <c r="GB28" s="292"/>
      <c r="GC28" s="292"/>
      <c r="GD28" s="292"/>
      <c r="GE28" s="292"/>
      <c r="GF28" s="292"/>
      <c r="GG28" s="292"/>
      <c r="GH28" s="292"/>
      <c r="GI28" s="292"/>
      <c r="GJ28" s="292"/>
      <c r="GK28" s="292"/>
      <c r="GL28" s="292"/>
      <c r="GM28" s="292"/>
      <c r="GN28" s="292"/>
      <c r="GO28" s="292"/>
      <c r="GP28" s="292"/>
      <c r="GQ28" s="292"/>
      <c r="GR28" s="292"/>
      <c r="GS28" s="292"/>
      <c r="GT28" s="292"/>
      <c r="GU28" s="292"/>
      <c r="GV28" s="292"/>
      <c r="GW28" s="292"/>
      <c r="GX28" s="292"/>
      <c r="GY28" s="292"/>
      <c r="GZ28" s="292"/>
      <c r="HA28" s="292"/>
      <c r="HB28" s="292"/>
      <c r="HC28" s="292"/>
      <c r="HD28" s="292"/>
      <c r="HE28" s="292"/>
      <c r="HF28" s="292"/>
      <c r="HG28" s="292"/>
      <c r="HH28" s="292"/>
      <c r="HI28" s="292"/>
      <c r="HJ28" s="292"/>
      <c r="HK28" s="292"/>
      <c r="HL28" s="292"/>
      <c r="HM28" s="292"/>
      <c r="HN28" s="292"/>
      <c r="HO28" s="292"/>
      <c r="HP28" s="292"/>
      <c r="HQ28" s="292"/>
      <c r="HR28" s="292"/>
      <c r="HS28" s="292"/>
      <c r="HT28" s="292"/>
      <c r="HU28" s="292"/>
      <c r="HV28" s="292"/>
      <c r="HW28" s="292"/>
    </row>
    <row r="29" spans="1:231" ht="15.6" customHeight="1">
      <c r="A29" s="290" t="s">
        <v>351</v>
      </c>
      <c r="B29" s="311">
        <v>3060000</v>
      </c>
      <c r="C29" s="395">
        <f>ROUND(3214035.05+0,-3)</f>
        <v>3214000</v>
      </c>
      <c r="D29" s="818"/>
      <c r="E29" s="302">
        <f t="shared" si="1"/>
        <v>5.0326797385620958E-2</v>
      </c>
      <c r="F29" s="303"/>
      <c r="G29" s="288"/>
      <c r="H29" s="288"/>
      <c r="I29" s="288"/>
      <c r="J29" s="288"/>
      <c r="K29" s="925"/>
      <c r="L29" s="486" t="s">
        <v>2</v>
      </c>
      <c r="M29" s="486"/>
      <c r="N29" s="1271">
        <f>C13</f>
        <v>3706817000</v>
      </c>
      <c r="O29" s="1272">
        <f>N29/SUM($N$29:$N$32)</f>
        <v>0.17009918873778565</v>
      </c>
      <c r="P29" s="922"/>
      <c r="Q29" s="922"/>
      <c r="R29" s="922"/>
      <c r="S29" s="922"/>
      <c r="T29" s="922"/>
      <c r="U29" s="291"/>
      <c r="V29" s="291"/>
      <c r="W29" s="291"/>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c r="DJ29" s="292"/>
      <c r="DK29" s="292"/>
      <c r="DL29" s="292"/>
      <c r="DM29" s="292"/>
      <c r="DN29" s="292"/>
      <c r="DO29" s="292"/>
      <c r="DP29" s="292"/>
      <c r="DQ29" s="292"/>
      <c r="DR29" s="292"/>
      <c r="DS29" s="292"/>
      <c r="DT29" s="292"/>
      <c r="DU29" s="292"/>
      <c r="DV29" s="292"/>
      <c r="DW29" s="292"/>
      <c r="DX29" s="292"/>
      <c r="DY29" s="292"/>
      <c r="DZ29" s="292"/>
      <c r="EA29" s="292"/>
      <c r="EB29" s="292"/>
      <c r="EC29" s="292"/>
      <c r="ED29" s="292"/>
      <c r="EE29" s="292"/>
      <c r="EF29" s="292"/>
      <c r="EG29" s="292"/>
      <c r="EH29" s="292"/>
      <c r="EI29" s="292"/>
      <c r="EJ29" s="292"/>
      <c r="EK29" s="292"/>
      <c r="EL29" s="292"/>
      <c r="EM29" s="292"/>
      <c r="EN29" s="292"/>
      <c r="EO29" s="292"/>
      <c r="EP29" s="292"/>
      <c r="EQ29" s="292"/>
      <c r="ER29" s="292"/>
      <c r="ES29" s="292"/>
      <c r="ET29" s="292"/>
      <c r="EU29" s="292"/>
      <c r="EV29" s="292"/>
      <c r="EW29" s="292"/>
      <c r="EX29" s="292"/>
      <c r="EY29" s="292"/>
      <c r="EZ29" s="292"/>
      <c r="FA29" s="292"/>
      <c r="FB29" s="292"/>
      <c r="FC29" s="292"/>
      <c r="FD29" s="292"/>
      <c r="FE29" s="292"/>
      <c r="FF29" s="292"/>
      <c r="FG29" s="292"/>
      <c r="FH29" s="292"/>
      <c r="FI29" s="292"/>
      <c r="FJ29" s="292"/>
      <c r="FK29" s="292"/>
      <c r="FL29" s="292"/>
      <c r="FM29" s="292"/>
      <c r="FN29" s="292"/>
      <c r="FO29" s="292"/>
      <c r="FP29" s="292"/>
      <c r="FQ29" s="292"/>
      <c r="FR29" s="292"/>
      <c r="FS29" s="292"/>
      <c r="FT29" s="292"/>
      <c r="FU29" s="292"/>
      <c r="FV29" s="292"/>
      <c r="FW29" s="292"/>
      <c r="FX29" s="292"/>
      <c r="FY29" s="292"/>
      <c r="FZ29" s="292"/>
      <c r="GA29" s="292"/>
      <c r="GB29" s="292"/>
      <c r="GC29" s="292"/>
      <c r="GD29" s="292"/>
      <c r="GE29" s="292"/>
      <c r="GF29" s="292"/>
      <c r="GG29" s="292"/>
      <c r="GH29" s="292"/>
      <c r="GI29" s="292"/>
      <c r="GJ29" s="292"/>
      <c r="GK29" s="292"/>
      <c r="GL29" s="292"/>
      <c r="GM29" s="292"/>
      <c r="GN29" s="292"/>
      <c r="GO29" s="292"/>
      <c r="GP29" s="292"/>
      <c r="GQ29" s="292"/>
      <c r="GR29" s="292"/>
      <c r="GS29" s="292"/>
      <c r="GT29" s="292"/>
      <c r="GU29" s="292"/>
      <c r="GV29" s="292"/>
      <c r="GW29" s="292"/>
      <c r="GX29" s="292"/>
      <c r="GY29" s="292"/>
      <c r="GZ29" s="292"/>
      <c r="HA29" s="292"/>
      <c r="HB29" s="292"/>
      <c r="HC29" s="292"/>
      <c r="HD29" s="292"/>
      <c r="HE29" s="292"/>
      <c r="HF29" s="292"/>
      <c r="HG29" s="292"/>
      <c r="HH29" s="292"/>
      <c r="HI29" s="292"/>
      <c r="HJ29" s="292"/>
      <c r="HK29" s="292"/>
      <c r="HL29" s="292"/>
      <c r="HM29" s="292"/>
      <c r="HN29" s="292"/>
      <c r="HO29" s="292"/>
      <c r="HP29" s="292"/>
      <c r="HQ29" s="292"/>
      <c r="HR29" s="292"/>
      <c r="HS29" s="292"/>
      <c r="HT29" s="292"/>
      <c r="HU29" s="292"/>
      <c r="HV29" s="292"/>
      <c r="HW29" s="292"/>
    </row>
    <row r="30" spans="1:231" ht="15.6" customHeight="1">
      <c r="A30" s="290" t="s">
        <v>353</v>
      </c>
      <c r="B30" s="311">
        <v>398000</v>
      </c>
      <c r="C30" s="395">
        <f>ROUND(460022.04+0,-3)</f>
        <v>460000</v>
      </c>
      <c r="D30" s="818"/>
      <c r="E30" s="310">
        <f t="shared" ref="E30:E36" si="2">(C30/B30)-1</f>
        <v>0.15577889447236171</v>
      </c>
      <c r="F30" s="303"/>
      <c r="G30" s="288"/>
      <c r="H30" s="288"/>
      <c r="I30" s="288"/>
      <c r="J30" s="288"/>
      <c r="K30" s="925"/>
      <c r="L30" s="486" t="s">
        <v>3</v>
      </c>
      <c r="M30" s="486"/>
      <c r="N30" s="1271">
        <f>C9</f>
        <v>15351592000</v>
      </c>
      <c r="O30" s="1272">
        <f>N30/SUM($N$29:$N$32)</f>
        <v>0.70445704361274919</v>
      </c>
      <c r="P30" s="922" t="s">
        <v>951</v>
      </c>
      <c r="Q30" s="922"/>
      <c r="R30" s="922"/>
      <c r="S30" s="922"/>
      <c r="T30" s="922"/>
      <c r="U30" s="291"/>
      <c r="V30" s="291"/>
      <c r="W30" s="291"/>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c r="DJ30" s="292"/>
      <c r="DK30" s="292"/>
      <c r="DL30" s="292"/>
      <c r="DM30" s="292"/>
      <c r="DN30" s="292"/>
      <c r="DO30" s="292"/>
      <c r="DP30" s="292"/>
      <c r="DQ30" s="292"/>
      <c r="DR30" s="292"/>
      <c r="DS30" s="292"/>
      <c r="DT30" s="292"/>
      <c r="DU30" s="292"/>
      <c r="DV30" s="292"/>
      <c r="DW30" s="292"/>
      <c r="DX30" s="292"/>
      <c r="DY30" s="292"/>
      <c r="DZ30" s="292"/>
      <c r="EA30" s="292"/>
      <c r="EB30" s="292"/>
      <c r="EC30" s="292"/>
      <c r="ED30" s="292"/>
      <c r="EE30" s="292"/>
      <c r="EF30" s="292"/>
      <c r="EG30" s="292"/>
      <c r="EH30" s="292"/>
      <c r="EI30" s="292"/>
      <c r="EJ30" s="292"/>
      <c r="EK30" s="292"/>
      <c r="EL30" s="292"/>
      <c r="EM30" s="292"/>
      <c r="EN30" s="292"/>
      <c r="EO30" s="292"/>
      <c r="EP30" s="292"/>
      <c r="EQ30" s="292"/>
      <c r="ER30" s="292"/>
      <c r="ES30" s="292"/>
      <c r="ET30" s="292"/>
      <c r="EU30" s="292"/>
      <c r="EV30" s="292"/>
      <c r="EW30" s="292"/>
      <c r="EX30" s="292"/>
      <c r="EY30" s="292"/>
      <c r="EZ30" s="292"/>
      <c r="FA30" s="292"/>
      <c r="FB30" s="292"/>
      <c r="FC30" s="292"/>
      <c r="FD30" s="292"/>
      <c r="FE30" s="292"/>
      <c r="FF30" s="292"/>
      <c r="FG30" s="292"/>
      <c r="FH30" s="292"/>
      <c r="FI30" s="292"/>
      <c r="FJ30" s="292"/>
      <c r="FK30" s="292"/>
      <c r="FL30" s="292"/>
      <c r="FM30" s="292"/>
      <c r="FN30" s="292"/>
      <c r="FO30" s="292"/>
      <c r="FP30" s="292"/>
      <c r="FQ30" s="292"/>
      <c r="FR30" s="292"/>
      <c r="FS30" s="292"/>
      <c r="FT30" s="292"/>
      <c r="FU30" s="292"/>
      <c r="FV30" s="292"/>
      <c r="FW30" s="292"/>
      <c r="FX30" s="292"/>
      <c r="FY30" s="292"/>
      <c r="FZ30" s="292"/>
      <c r="GA30" s="292"/>
      <c r="GB30" s="292"/>
      <c r="GC30" s="292"/>
      <c r="GD30" s="292"/>
      <c r="GE30" s="292"/>
      <c r="GF30" s="292"/>
      <c r="GG30" s="292"/>
      <c r="GH30" s="292"/>
      <c r="GI30" s="292"/>
      <c r="GJ30" s="292"/>
      <c r="GK30" s="292"/>
      <c r="GL30" s="292"/>
      <c r="GM30" s="292"/>
      <c r="GN30" s="292"/>
      <c r="GO30" s="292"/>
      <c r="GP30" s="292"/>
      <c r="GQ30" s="292"/>
      <c r="GR30" s="292"/>
      <c r="GS30" s="292"/>
      <c r="GT30" s="292"/>
      <c r="GU30" s="292"/>
      <c r="GV30" s="292"/>
      <c r="GW30" s="292"/>
      <c r="GX30" s="292"/>
      <c r="GY30" s="292"/>
      <c r="GZ30" s="292"/>
      <c r="HA30" s="292"/>
      <c r="HB30" s="292"/>
      <c r="HC30" s="292"/>
      <c r="HD30" s="292"/>
      <c r="HE30" s="292"/>
      <c r="HF30" s="292"/>
      <c r="HG30" s="292"/>
      <c r="HH30" s="292"/>
      <c r="HI30" s="292"/>
      <c r="HJ30" s="292"/>
      <c r="HK30" s="292"/>
      <c r="HL30" s="292"/>
      <c r="HM30" s="292"/>
      <c r="HN30" s="292"/>
      <c r="HO30" s="292"/>
      <c r="HP30" s="292"/>
      <c r="HQ30" s="292"/>
      <c r="HR30" s="292"/>
      <c r="HS30" s="292"/>
      <c r="HT30" s="292"/>
      <c r="HU30" s="292"/>
      <c r="HV30" s="292"/>
      <c r="HW30" s="292"/>
    </row>
    <row r="31" spans="1:231" ht="15.6" customHeight="1">
      <c r="A31" s="290" t="s">
        <v>354</v>
      </c>
      <c r="B31" s="311">
        <v>179000</v>
      </c>
      <c r="C31" s="395">
        <f>ROUND(142617.3+0,-3)</f>
        <v>143000</v>
      </c>
      <c r="D31" s="818"/>
      <c r="E31" s="302">
        <f t="shared" si="2"/>
        <v>-0.2011173184357542</v>
      </c>
      <c r="F31" s="303"/>
      <c r="G31" s="288"/>
      <c r="H31" s="288"/>
      <c r="I31" s="288"/>
      <c r="J31" s="288"/>
      <c r="K31" s="925"/>
      <c r="L31" s="1273" t="s">
        <v>999</v>
      </c>
      <c r="M31" s="1273"/>
      <c r="N31" s="1271">
        <f>C8</f>
        <v>1011650000</v>
      </c>
      <c r="O31" s="1272">
        <f>N31/SUM($N$29:$N$32)</f>
        <v>4.6422805411376084E-2</v>
      </c>
      <c r="P31" s="922"/>
      <c r="Q31" s="922"/>
      <c r="R31" s="922"/>
      <c r="S31" s="922"/>
      <c r="T31" s="922"/>
      <c r="U31" s="291"/>
      <c r="V31" s="291"/>
      <c r="W31" s="291"/>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c r="DC31" s="292"/>
      <c r="DD31" s="292"/>
      <c r="DE31" s="292"/>
      <c r="DF31" s="292"/>
      <c r="DG31" s="292"/>
      <c r="DH31" s="292"/>
      <c r="DI31" s="292"/>
      <c r="DJ31" s="292"/>
      <c r="DK31" s="292"/>
      <c r="DL31" s="292"/>
      <c r="DM31" s="292"/>
      <c r="DN31" s="292"/>
      <c r="DO31" s="292"/>
      <c r="DP31" s="292"/>
      <c r="DQ31" s="292"/>
      <c r="DR31" s="292"/>
      <c r="DS31" s="292"/>
      <c r="DT31" s="292"/>
      <c r="DU31" s="292"/>
      <c r="DV31" s="292"/>
      <c r="DW31" s="292"/>
      <c r="DX31" s="292"/>
      <c r="DY31" s="292"/>
      <c r="DZ31" s="292"/>
      <c r="EA31" s="292"/>
      <c r="EB31" s="292"/>
      <c r="EC31" s="292"/>
      <c r="ED31" s="292"/>
      <c r="EE31" s="292"/>
      <c r="EF31" s="292"/>
      <c r="EG31" s="292"/>
      <c r="EH31" s="292"/>
      <c r="EI31" s="292"/>
      <c r="EJ31" s="292"/>
      <c r="EK31" s="292"/>
      <c r="EL31" s="292"/>
      <c r="EM31" s="292"/>
      <c r="EN31" s="292"/>
      <c r="EO31" s="292"/>
      <c r="EP31" s="292"/>
      <c r="EQ31" s="292"/>
      <c r="ER31" s="292"/>
      <c r="ES31" s="292"/>
      <c r="ET31" s="292"/>
      <c r="EU31" s="292"/>
      <c r="EV31" s="292"/>
      <c r="EW31" s="292"/>
      <c r="EX31" s="292"/>
      <c r="EY31" s="292"/>
      <c r="EZ31" s="292"/>
      <c r="FA31" s="292"/>
      <c r="FB31" s="292"/>
      <c r="FC31" s="292"/>
      <c r="FD31" s="292"/>
      <c r="FE31" s="292"/>
      <c r="FF31" s="292"/>
      <c r="FG31" s="292"/>
      <c r="FH31" s="292"/>
      <c r="FI31" s="292"/>
      <c r="FJ31" s="292"/>
      <c r="FK31" s="292"/>
      <c r="FL31" s="292"/>
      <c r="FM31" s="292"/>
      <c r="FN31" s="292"/>
      <c r="FO31" s="292"/>
      <c r="FP31" s="292"/>
      <c r="FQ31" s="292"/>
      <c r="FR31" s="292"/>
      <c r="FS31" s="292"/>
      <c r="FT31" s="292"/>
      <c r="FU31" s="292"/>
      <c r="FV31" s="292"/>
      <c r="FW31" s="292"/>
      <c r="FX31" s="292"/>
      <c r="FY31" s="292"/>
      <c r="FZ31" s="292"/>
      <c r="GA31" s="292"/>
      <c r="GB31" s="292"/>
      <c r="GC31" s="292"/>
      <c r="GD31" s="292"/>
      <c r="GE31" s="292"/>
      <c r="GF31" s="292"/>
      <c r="GG31" s="292"/>
      <c r="GH31" s="292"/>
      <c r="GI31" s="292"/>
      <c r="GJ31" s="292"/>
      <c r="GK31" s="292"/>
      <c r="GL31" s="292"/>
      <c r="GM31" s="292"/>
      <c r="GN31" s="292"/>
      <c r="GO31" s="292"/>
      <c r="GP31" s="292"/>
      <c r="GQ31" s="292"/>
      <c r="GR31" s="292"/>
      <c r="GS31" s="292"/>
      <c r="GT31" s="292"/>
      <c r="GU31" s="292"/>
      <c r="GV31" s="292"/>
      <c r="GW31" s="292"/>
      <c r="GX31" s="292"/>
      <c r="GY31" s="292"/>
      <c r="GZ31" s="292"/>
      <c r="HA31" s="292"/>
      <c r="HB31" s="292"/>
      <c r="HC31" s="292"/>
      <c r="HD31" s="292"/>
      <c r="HE31" s="292"/>
      <c r="HF31" s="292"/>
      <c r="HG31" s="292"/>
      <c r="HH31" s="292"/>
      <c r="HI31" s="292"/>
      <c r="HJ31" s="292"/>
      <c r="HK31" s="292"/>
      <c r="HL31" s="292"/>
      <c r="HM31" s="292"/>
      <c r="HN31" s="292"/>
      <c r="HO31" s="292"/>
      <c r="HP31" s="292"/>
      <c r="HQ31" s="292"/>
      <c r="HR31" s="292"/>
      <c r="HS31" s="292"/>
      <c r="HT31" s="292"/>
      <c r="HU31" s="292"/>
      <c r="HV31" s="292"/>
      <c r="HW31" s="292"/>
    </row>
    <row r="32" spans="1:231" ht="15.6" customHeight="1">
      <c r="A32" s="290" t="s">
        <v>333</v>
      </c>
      <c r="B32" s="311">
        <v>12000</v>
      </c>
      <c r="C32" s="395">
        <f>ROUND(12296.11+0,-3)</f>
        <v>12000</v>
      </c>
      <c r="D32" s="818"/>
      <c r="E32" s="310">
        <f t="shared" si="2"/>
        <v>0</v>
      </c>
      <c r="F32" s="303"/>
      <c r="G32" s="288"/>
      <c r="H32" s="288"/>
      <c r="I32" s="288"/>
      <c r="J32" s="288"/>
      <c r="K32" s="925"/>
      <c r="L32" s="486" t="s">
        <v>352</v>
      </c>
      <c r="M32" s="486"/>
      <c r="N32" s="1271">
        <f>C40-SUM(N29:N31)</f>
        <v>1722032000</v>
      </c>
      <c r="O32" s="1272">
        <f>N32/SUM($N$29:$N$32)</f>
        <v>7.9020962238089035E-2</v>
      </c>
      <c r="P32" s="922"/>
      <c r="Q32" s="922"/>
      <c r="R32" s="922"/>
      <c r="S32" s="922"/>
      <c r="T32" s="922"/>
      <c r="U32" s="291"/>
      <c r="V32" s="291"/>
      <c r="W32" s="291"/>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c r="CQ32" s="292"/>
      <c r="CR32" s="292"/>
      <c r="CS32" s="292"/>
      <c r="CT32" s="292"/>
      <c r="CU32" s="292"/>
      <c r="CV32" s="292"/>
      <c r="CW32" s="292"/>
      <c r="CX32" s="292"/>
      <c r="CY32" s="292"/>
      <c r="CZ32" s="292"/>
      <c r="DA32" s="292"/>
      <c r="DB32" s="292"/>
      <c r="DC32" s="292"/>
      <c r="DD32" s="292"/>
      <c r="DE32" s="292"/>
      <c r="DF32" s="292"/>
      <c r="DG32" s="292"/>
      <c r="DH32" s="292"/>
      <c r="DI32" s="292"/>
      <c r="DJ32" s="292"/>
      <c r="DK32" s="292"/>
      <c r="DL32" s="292"/>
      <c r="DM32" s="292"/>
      <c r="DN32" s="292"/>
      <c r="DO32" s="292"/>
      <c r="DP32" s="292"/>
      <c r="DQ32" s="292"/>
      <c r="DR32" s="292"/>
      <c r="DS32" s="292"/>
      <c r="DT32" s="292"/>
      <c r="DU32" s="292"/>
      <c r="DV32" s="292"/>
      <c r="DW32" s="292"/>
      <c r="DX32" s="292"/>
      <c r="DY32" s="292"/>
      <c r="DZ32" s="292"/>
      <c r="EA32" s="292"/>
      <c r="EB32" s="292"/>
      <c r="EC32" s="292"/>
      <c r="ED32" s="292"/>
      <c r="EE32" s="292"/>
      <c r="EF32" s="292"/>
      <c r="EG32" s="292"/>
      <c r="EH32" s="292"/>
      <c r="EI32" s="292"/>
      <c r="EJ32" s="292"/>
      <c r="EK32" s="292"/>
      <c r="EL32" s="292"/>
      <c r="EM32" s="292"/>
      <c r="EN32" s="292"/>
      <c r="EO32" s="292"/>
      <c r="EP32" s="292"/>
      <c r="EQ32" s="292"/>
      <c r="ER32" s="292"/>
      <c r="ES32" s="292"/>
      <c r="ET32" s="292"/>
      <c r="EU32" s="292"/>
      <c r="EV32" s="292"/>
      <c r="EW32" s="292"/>
      <c r="EX32" s="292"/>
      <c r="EY32" s="292"/>
      <c r="EZ32" s="292"/>
      <c r="FA32" s="292"/>
      <c r="FB32" s="292"/>
      <c r="FC32" s="292"/>
      <c r="FD32" s="292"/>
      <c r="FE32" s="292"/>
      <c r="FF32" s="292"/>
      <c r="FG32" s="292"/>
      <c r="FH32" s="292"/>
      <c r="FI32" s="292"/>
      <c r="FJ32" s="292"/>
      <c r="FK32" s="292"/>
      <c r="FL32" s="292"/>
      <c r="FM32" s="292"/>
      <c r="FN32" s="292"/>
      <c r="FO32" s="292"/>
      <c r="FP32" s="292"/>
      <c r="FQ32" s="292"/>
      <c r="FR32" s="292"/>
      <c r="FS32" s="292"/>
      <c r="FT32" s="292"/>
      <c r="FU32" s="292"/>
      <c r="FV32" s="292"/>
      <c r="FW32" s="292"/>
      <c r="FX32" s="292"/>
      <c r="FY32" s="292"/>
      <c r="FZ32" s="292"/>
      <c r="GA32" s="292"/>
      <c r="GB32" s="292"/>
      <c r="GC32" s="292"/>
      <c r="GD32" s="292"/>
      <c r="GE32" s="292"/>
      <c r="GF32" s="292"/>
      <c r="GG32" s="292"/>
      <c r="GH32" s="292"/>
      <c r="GI32" s="292"/>
      <c r="GJ32" s="292"/>
      <c r="GK32" s="292"/>
      <c r="GL32" s="292"/>
      <c r="GM32" s="292"/>
      <c r="GN32" s="292"/>
      <c r="GO32" s="292"/>
      <c r="GP32" s="292"/>
      <c r="GQ32" s="292"/>
      <c r="GR32" s="292"/>
      <c r="GS32" s="292"/>
      <c r="GT32" s="292"/>
      <c r="GU32" s="292"/>
      <c r="GV32" s="292"/>
      <c r="GW32" s="292"/>
      <c r="GX32" s="292"/>
      <c r="GY32" s="292"/>
      <c r="GZ32" s="292"/>
      <c r="HA32" s="292"/>
      <c r="HB32" s="292"/>
      <c r="HC32" s="292"/>
      <c r="HD32" s="292"/>
      <c r="HE32" s="292"/>
      <c r="HF32" s="292"/>
      <c r="HG32" s="292"/>
      <c r="HH32" s="292"/>
      <c r="HI32" s="292"/>
      <c r="HJ32" s="292"/>
      <c r="HK32" s="292"/>
      <c r="HL32" s="292"/>
      <c r="HM32" s="292"/>
      <c r="HN32" s="292"/>
      <c r="HO32" s="292"/>
      <c r="HP32" s="292"/>
      <c r="HQ32" s="292"/>
      <c r="HR32" s="292"/>
      <c r="HS32" s="292"/>
      <c r="HT32" s="292"/>
      <c r="HU32" s="292"/>
      <c r="HV32" s="292"/>
      <c r="HW32" s="292"/>
    </row>
    <row r="33" spans="1:232" ht="15.6" customHeight="1">
      <c r="A33" s="290" t="s">
        <v>355</v>
      </c>
      <c r="B33" s="311">
        <v>664000</v>
      </c>
      <c r="C33" s="395">
        <f>ROUND(878294.38+0,-3)</f>
        <v>878000</v>
      </c>
      <c r="D33" s="818"/>
      <c r="E33" s="302">
        <f t="shared" si="2"/>
        <v>0.32228915662650603</v>
      </c>
      <c r="F33" s="303"/>
      <c r="G33" s="288"/>
      <c r="H33" s="288"/>
      <c r="I33" s="288"/>
      <c r="J33" s="288"/>
      <c r="K33" s="925"/>
      <c r="L33" s="486"/>
      <c r="M33" s="1118"/>
      <c r="N33" s="486">
        <f>71+17+4+8</f>
        <v>100</v>
      </c>
      <c r="O33" s="486"/>
      <c r="P33" s="922"/>
      <c r="Q33" s="922"/>
      <c r="R33" s="922"/>
      <c r="S33" s="922"/>
      <c r="T33" s="922"/>
      <c r="U33" s="291"/>
      <c r="V33" s="291"/>
      <c r="W33" s="291"/>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2"/>
      <c r="DA33" s="292"/>
      <c r="DB33" s="292"/>
      <c r="DC33" s="292"/>
      <c r="DD33" s="292"/>
      <c r="DE33" s="292"/>
      <c r="DF33" s="292"/>
      <c r="DG33" s="292"/>
      <c r="DH33" s="292"/>
      <c r="DI33" s="292"/>
      <c r="DJ33" s="292"/>
      <c r="DK33" s="292"/>
      <c r="DL33" s="292"/>
      <c r="DM33" s="292"/>
      <c r="DN33" s="292"/>
      <c r="DO33" s="292"/>
      <c r="DP33" s="292"/>
      <c r="DQ33" s="292"/>
      <c r="DR33" s="292"/>
      <c r="DS33" s="292"/>
      <c r="DT33" s="292"/>
      <c r="DU33" s="292"/>
      <c r="DV33" s="292"/>
      <c r="DW33" s="292"/>
      <c r="DX33" s="292"/>
      <c r="DY33" s="292"/>
      <c r="DZ33" s="292"/>
      <c r="EA33" s="292"/>
      <c r="EB33" s="292"/>
      <c r="EC33" s="292"/>
      <c r="ED33" s="292"/>
      <c r="EE33" s="292"/>
      <c r="EF33" s="292"/>
      <c r="EG33" s="292"/>
      <c r="EH33" s="292"/>
      <c r="EI33" s="292"/>
      <c r="EJ33" s="292"/>
      <c r="EK33" s="292"/>
      <c r="EL33" s="292"/>
      <c r="EM33" s="292"/>
      <c r="EN33" s="292"/>
      <c r="EO33" s="292"/>
      <c r="EP33" s="292"/>
      <c r="EQ33" s="292"/>
      <c r="ER33" s="292"/>
      <c r="ES33" s="292"/>
      <c r="ET33" s="292"/>
      <c r="EU33" s="292"/>
      <c r="EV33" s="292"/>
      <c r="EW33" s="292"/>
      <c r="EX33" s="292"/>
      <c r="EY33" s="292"/>
      <c r="EZ33" s="292"/>
      <c r="FA33" s="292"/>
      <c r="FB33" s="292"/>
      <c r="FC33" s="292"/>
      <c r="FD33" s="292"/>
      <c r="FE33" s="292"/>
      <c r="FF33" s="292"/>
      <c r="FG33" s="292"/>
      <c r="FH33" s="292"/>
      <c r="FI33" s="292"/>
      <c r="FJ33" s="292"/>
      <c r="FK33" s="292"/>
      <c r="FL33" s="292"/>
      <c r="FM33" s="292"/>
      <c r="FN33" s="292"/>
      <c r="FO33" s="292"/>
      <c r="FP33" s="292"/>
      <c r="FQ33" s="292"/>
      <c r="FR33" s="292"/>
      <c r="FS33" s="292"/>
      <c r="FT33" s="292"/>
      <c r="FU33" s="292"/>
      <c r="FV33" s="292"/>
      <c r="FW33" s="292"/>
      <c r="FX33" s="292"/>
      <c r="FY33" s="292"/>
      <c r="FZ33" s="292"/>
      <c r="GA33" s="292"/>
      <c r="GB33" s="292"/>
      <c r="GC33" s="292"/>
      <c r="GD33" s="292"/>
      <c r="GE33" s="292"/>
      <c r="GF33" s="292"/>
      <c r="GG33" s="292"/>
      <c r="GH33" s="292"/>
      <c r="GI33" s="292"/>
      <c r="GJ33" s="292"/>
      <c r="GK33" s="292"/>
      <c r="GL33" s="292"/>
      <c r="GM33" s="292"/>
      <c r="GN33" s="292"/>
      <c r="GO33" s="292"/>
      <c r="GP33" s="292"/>
      <c r="GQ33" s="292"/>
      <c r="GR33" s="292"/>
      <c r="GS33" s="292"/>
      <c r="GT33" s="292"/>
      <c r="GU33" s="292"/>
      <c r="GV33" s="292"/>
      <c r="GW33" s="292"/>
      <c r="GX33" s="292"/>
      <c r="GY33" s="292"/>
      <c r="GZ33" s="292"/>
      <c r="HA33" s="292"/>
      <c r="HB33" s="292"/>
      <c r="HC33" s="292"/>
      <c r="HD33" s="292"/>
      <c r="HE33" s="292"/>
      <c r="HF33" s="292"/>
      <c r="HG33" s="292"/>
      <c r="HH33" s="292"/>
      <c r="HI33" s="292"/>
      <c r="HJ33" s="292"/>
      <c r="HK33" s="292"/>
      <c r="HL33" s="292"/>
      <c r="HM33" s="292"/>
      <c r="HN33" s="292"/>
      <c r="HO33" s="292"/>
      <c r="HP33" s="292"/>
      <c r="HQ33" s="292"/>
      <c r="HR33" s="292"/>
      <c r="HS33" s="292"/>
      <c r="HT33" s="292"/>
      <c r="HU33" s="292"/>
      <c r="HV33" s="292"/>
      <c r="HW33" s="292"/>
    </row>
    <row r="34" spans="1:232" ht="15.6" customHeight="1">
      <c r="A34" s="290" t="s">
        <v>356</v>
      </c>
      <c r="B34" s="311">
        <v>175000</v>
      </c>
      <c r="C34" s="395">
        <f>ROUND(216842.49+0,-3)</f>
        <v>217000</v>
      </c>
      <c r="D34" s="818"/>
      <c r="E34" s="302">
        <f t="shared" si="2"/>
        <v>0.24</v>
      </c>
      <c r="F34" s="303"/>
      <c r="G34" s="288"/>
      <c r="H34" s="288"/>
      <c r="I34" s="288"/>
      <c r="J34" s="288"/>
      <c r="K34" s="925"/>
      <c r="L34" s="486"/>
      <c r="M34" s="1118"/>
      <c r="N34" s="486"/>
      <c r="O34" s="486">
        <f>17+70+5+8</f>
        <v>100</v>
      </c>
      <c r="P34" s="922"/>
      <c r="Q34" s="922"/>
      <c r="R34" s="922"/>
      <c r="S34" s="922"/>
      <c r="T34" s="922"/>
      <c r="U34" s="291"/>
      <c r="V34" s="291"/>
      <c r="W34" s="291"/>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c r="DJ34" s="292"/>
      <c r="DK34" s="292"/>
      <c r="DL34" s="292"/>
      <c r="DM34" s="292"/>
      <c r="DN34" s="292"/>
      <c r="DO34" s="292"/>
      <c r="DP34" s="292"/>
      <c r="DQ34" s="292"/>
      <c r="DR34" s="292"/>
      <c r="DS34" s="292"/>
      <c r="DT34" s="292"/>
      <c r="DU34" s="292"/>
      <c r="DV34" s="292"/>
      <c r="DW34" s="292"/>
      <c r="DX34" s="292"/>
      <c r="DY34" s="292"/>
      <c r="DZ34" s="292"/>
      <c r="EA34" s="292"/>
      <c r="EB34" s="292"/>
      <c r="EC34" s="292"/>
      <c r="ED34" s="292"/>
      <c r="EE34" s="292"/>
      <c r="EF34" s="292"/>
      <c r="EG34" s="292"/>
      <c r="EH34" s="292"/>
      <c r="EI34" s="292"/>
      <c r="EJ34" s="292"/>
      <c r="EK34" s="292"/>
      <c r="EL34" s="292"/>
      <c r="EM34" s="292"/>
      <c r="EN34" s="292"/>
      <c r="EO34" s="292"/>
      <c r="EP34" s="292"/>
      <c r="EQ34" s="292"/>
      <c r="ER34" s="292"/>
      <c r="ES34" s="292"/>
      <c r="ET34" s="292"/>
      <c r="EU34" s="292"/>
      <c r="EV34" s="292"/>
      <c r="EW34" s="292"/>
      <c r="EX34" s="292"/>
      <c r="EY34" s="292"/>
      <c r="EZ34" s="292"/>
      <c r="FA34" s="292"/>
      <c r="FB34" s="292"/>
      <c r="FC34" s="292"/>
      <c r="FD34" s="292"/>
      <c r="FE34" s="292"/>
      <c r="FF34" s="292"/>
      <c r="FG34" s="292"/>
      <c r="FH34" s="292"/>
      <c r="FI34" s="292"/>
      <c r="FJ34" s="292"/>
      <c r="FK34" s="292"/>
      <c r="FL34" s="292"/>
      <c r="FM34" s="292"/>
      <c r="FN34" s="292"/>
      <c r="FO34" s="292"/>
      <c r="FP34" s="292"/>
      <c r="FQ34" s="292"/>
      <c r="FR34" s="292"/>
      <c r="FS34" s="292"/>
      <c r="FT34" s="292"/>
      <c r="FU34" s="292"/>
      <c r="FV34" s="292"/>
      <c r="FW34" s="292"/>
      <c r="FX34" s="292"/>
      <c r="FY34" s="292"/>
      <c r="FZ34" s="292"/>
      <c r="GA34" s="292"/>
      <c r="GB34" s="292"/>
      <c r="GC34" s="292"/>
      <c r="GD34" s="292"/>
      <c r="GE34" s="292"/>
      <c r="GF34" s="292"/>
      <c r="GG34" s="292"/>
      <c r="GH34" s="292"/>
      <c r="GI34" s="292"/>
      <c r="GJ34" s="292"/>
      <c r="GK34" s="292"/>
      <c r="GL34" s="292"/>
      <c r="GM34" s="292"/>
      <c r="GN34" s="292"/>
      <c r="GO34" s="292"/>
      <c r="GP34" s="292"/>
      <c r="GQ34" s="292"/>
      <c r="GR34" s="292"/>
      <c r="GS34" s="292"/>
      <c r="GT34" s="292"/>
      <c r="GU34" s="292"/>
      <c r="GV34" s="292"/>
      <c r="GW34" s="292"/>
      <c r="GX34" s="292"/>
      <c r="GY34" s="292"/>
      <c r="GZ34" s="292"/>
      <c r="HA34" s="292"/>
      <c r="HB34" s="292"/>
      <c r="HC34" s="292"/>
      <c r="HD34" s="292"/>
      <c r="HE34" s="292"/>
      <c r="HF34" s="292"/>
      <c r="HG34" s="292"/>
      <c r="HH34" s="292"/>
      <c r="HI34" s="292"/>
      <c r="HJ34" s="292"/>
      <c r="HK34" s="292"/>
      <c r="HL34" s="292"/>
      <c r="HM34" s="292"/>
      <c r="HN34" s="292"/>
      <c r="HO34" s="292"/>
      <c r="HP34" s="292"/>
      <c r="HQ34" s="292"/>
      <c r="HR34" s="292"/>
      <c r="HS34" s="292"/>
      <c r="HT34" s="292"/>
      <c r="HU34" s="292"/>
      <c r="HV34" s="292"/>
      <c r="HW34" s="292"/>
    </row>
    <row r="35" spans="1:232" ht="15.6" customHeight="1">
      <c r="A35" s="290" t="s">
        <v>332</v>
      </c>
      <c r="B35" s="311">
        <v>178000</v>
      </c>
      <c r="C35" s="395">
        <f>ROUND(218257.13,-3)</f>
        <v>218000</v>
      </c>
      <c r="D35" s="818"/>
      <c r="E35" s="310">
        <f t="shared" si="2"/>
        <v>0.22471910112359561</v>
      </c>
      <c r="F35" s="303"/>
      <c r="G35" s="288"/>
      <c r="H35" s="288"/>
      <c r="I35" s="288"/>
      <c r="J35" s="288"/>
      <c r="K35" s="925"/>
      <c r="L35" s="922"/>
      <c r="M35" s="926"/>
      <c r="O35" s="922"/>
      <c r="P35" s="922"/>
      <c r="Q35" s="922"/>
      <c r="R35" s="922"/>
      <c r="S35" s="922"/>
      <c r="T35" s="922"/>
      <c r="U35" s="291"/>
      <c r="V35" s="291"/>
      <c r="W35" s="291"/>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c r="DJ35" s="292"/>
      <c r="DK35" s="292"/>
      <c r="DL35" s="292"/>
      <c r="DM35" s="292"/>
      <c r="DN35" s="292"/>
      <c r="DO35" s="292"/>
      <c r="DP35" s="292"/>
      <c r="DQ35" s="292"/>
      <c r="DR35" s="292"/>
      <c r="DS35" s="292"/>
      <c r="DT35" s="292"/>
      <c r="DU35" s="292"/>
      <c r="DV35" s="292"/>
      <c r="DW35" s="292"/>
      <c r="DX35" s="292"/>
      <c r="DY35" s="292"/>
      <c r="DZ35" s="292"/>
      <c r="EA35" s="292"/>
      <c r="EB35" s="292"/>
      <c r="EC35" s="292"/>
      <c r="ED35" s="292"/>
      <c r="EE35" s="292"/>
      <c r="EF35" s="292"/>
      <c r="EG35" s="292"/>
      <c r="EH35" s="292"/>
      <c r="EI35" s="292"/>
      <c r="EJ35" s="292"/>
      <c r="EK35" s="292"/>
      <c r="EL35" s="292"/>
      <c r="EM35" s="292"/>
      <c r="EN35" s="292"/>
      <c r="EO35" s="292"/>
      <c r="EP35" s="292"/>
      <c r="EQ35" s="292"/>
      <c r="ER35" s="292"/>
      <c r="ES35" s="292"/>
      <c r="ET35" s="292"/>
      <c r="EU35" s="292"/>
      <c r="EV35" s="292"/>
      <c r="EW35" s="292"/>
      <c r="EX35" s="292"/>
      <c r="EY35" s="292"/>
      <c r="EZ35" s="292"/>
      <c r="FA35" s="292"/>
      <c r="FB35" s="292"/>
      <c r="FC35" s="292"/>
      <c r="FD35" s="292"/>
      <c r="FE35" s="292"/>
      <c r="FF35" s="292"/>
      <c r="FG35" s="292"/>
      <c r="FH35" s="292"/>
      <c r="FI35" s="292"/>
      <c r="FJ35" s="292"/>
      <c r="FK35" s="292"/>
      <c r="FL35" s="292"/>
      <c r="FM35" s="292"/>
      <c r="FN35" s="292"/>
      <c r="FO35" s="292"/>
      <c r="FP35" s="292"/>
      <c r="FQ35" s="292"/>
      <c r="FR35" s="292"/>
      <c r="FS35" s="292"/>
      <c r="FT35" s="292"/>
      <c r="FU35" s="292"/>
      <c r="FV35" s="292"/>
      <c r="FW35" s="292"/>
      <c r="FX35" s="292"/>
      <c r="FY35" s="292"/>
      <c r="FZ35" s="292"/>
      <c r="GA35" s="292"/>
      <c r="GB35" s="292"/>
      <c r="GC35" s="292"/>
      <c r="GD35" s="292"/>
      <c r="GE35" s="292"/>
      <c r="GF35" s="292"/>
      <c r="GG35" s="292"/>
      <c r="GH35" s="292"/>
      <c r="GI35" s="292"/>
      <c r="GJ35" s="292"/>
      <c r="GK35" s="292"/>
      <c r="GL35" s="292"/>
      <c r="GM35" s="292"/>
      <c r="GN35" s="292"/>
      <c r="GO35" s="292"/>
      <c r="GP35" s="292"/>
      <c r="GQ35" s="292"/>
      <c r="GR35" s="292"/>
      <c r="GS35" s="292"/>
      <c r="GT35" s="292"/>
      <c r="GU35" s="292"/>
      <c r="GV35" s="292"/>
      <c r="GW35" s="292"/>
      <c r="GX35" s="292"/>
      <c r="GY35" s="292"/>
      <c r="GZ35" s="292"/>
      <c r="HA35" s="292"/>
      <c r="HB35" s="292"/>
      <c r="HC35" s="292"/>
      <c r="HD35" s="292"/>
      <c r="HE35" s="292"/>
      <c r="HF35" s="292"/>
      <c r="HG35" s="292"/>
      <c r="HH35" s="292"/>
      <c r="HI35" s="292"/>
      <c r="HJ35" s="292"/>
      <c r="HK35" s="292"/>
      <c r="HL35" s="292"/>
      <c r="HM35" s="292"/>
      <c r="HN35" s="292"/>
      <c r="HO35" s="292"/>
      <c r="HP35" s="292"/>
      <c r="HQ35" s="292"/>
      <c r="HR35" s="292"/>
      <c r="HS35" s="292"/>
      <c r="HT35" s="292"/>
      <c r="HU35" s="292"/>
      <c r="HV35" s="292"/>
      <c r="HW35" s="292"/>
    </row>
    <row r="36" spans="1:232" ht="15.6" customHeight="1">
      <c r="A36" s="290" t="s">
        <v>331</v>
      </c>
      <c r="B36" s="311">
        <v>90000</v>
      </c>
      <c r="C36" s="287">
        <f>ROUND(87968.28,-3)</f>
        <v>88000</v>
      </c>
      <c r="E36" s="397">
        <f t="shared" si="2"/>
        <v>-2.2222222222222254E-2</v>
      </c>
      <c r="F36" s="303"/>
      <c r="G36" s="288"/>
      <c r="H36" s="288"/>
      <c r="I36" s="288"/>
      <c r="J36" s="288"/>
      <c r="K36" s="925"/>
      <c r="L36" s="922"/>
      <c r="M36" s="926"/>
      <c r="N36" s="922"/>
      <c r="O36" s="922"/>
      <c r="P36" s="922"/>
      <c r="Q36" s="922"/>
      <c r="R36" s="922"/>
      <c r="S36" s="922"/>
      <c r="T36" s="922"/>
      <c r="U36" s="291"/>
      <c r="V36" s="291"/>
      <c r="W36" s="291"/>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E36" s="292"/>
      <c r="DF36" s="292"/>
      <c r="DG36" s="292"/>
      <c r="DH36" s="292"/>
      <c r="DI36" s="292"/>
      <c r="DJ36" s="292"/>
      <c r="DK36" s="292"/>
      <c r="DL36" s="292"/>
      <c r="DM36" s="292"/>
      <c r="DN36" s="292"/>
      <c r="DO36" s="292"/>
      <c r="DP36" s="292"/>
      <c r="DQ36" s="292"/>
      <c r="DR36" s="292"/>
      <c r="DS36" s="292"/>
      <c r="DT36" s="292"/>
      <c r="DU36" s="292"/>
      <c r="DV36" s="292"/>
      <c r="DW36" s="292"/>
      <c r="DX36" s="292"/>
      <c r="DY36" s="292"/>
      <c r="DZ36" s="292"/>
      <c r="EA36" s="292"/>
      <c r="EB36" s="292"/>
      <c r="EC36" s="292"/>
      <c r="ED36" s="292"/>
      <c r="EE36" s="292"/>
      <c r="EF36" s="292"/>
      <c r="EG36" s="292"/>
      <c r="EH36" s="292"/>
      <c r="EI36" s="292"/>
      <c r="EJ36" s="292"/>
      <c r="EK36" s="292"/>
      <c r="EL36" s="292"/>
      <c r="EM36" s="292"/>
      <c r="EN36" s="292"/>
      <c r="EO36" s="292"/>
      <c r="EP36" s="292"/>
      <c r="EQ36" s="292"/>
      <c r="ER36" s="292"/>
      <c r="ES36" s="292"/>
      <c r="ET36" s="292"/>
      <c r="EU36" s="292"/>
      <c r="EV36" s="292"/>
      <c r="EW36" s="292"/>
      <c r="EX36" s="292"/>
      <c r="EY36" s="292"/>
      <c r="EZ36" s="292"/>
      <c r="FA36" s="292"/>
      <c r="FB36" s="292"/>
      <c r="FC36" s="292"/>
      <c r="FD36" s="292"/>
      <c r="FE36" s="292"/>
      <c r="FF36" s="292"/>
      <c r="FG36" s="292"/>
      <c r="FH36" s="292"/>
      <c r="FI36" s="292"/>
      <c r="FJ36" s="292"/>
      <c r="FK36" s="292"/>
      <c r="FL36" s="292"/>
      <c r="FM36" s="292"/>
      <c r="FN36" s="292"/>
      <c r="FO36" s="292"/>
      <c r="FP36" s="292"/>
      <c r="FQ36" s="292"/>
      <c r="FR36" s="292"/>
      <c r="FS36" s="292"/>
      <c r="FT36" s="292"/>
      <c r="FU36" s="292"/>
      <c r="FV36" s="292"/>
      <c r="FW36" s="292"/>
      <c r="FX36" s="292"/>
      <c r="FY36" s="292"/>
      <c r="FZ36" s="292"/>
      <c r="GA36" s="292"/>
      <c r="GB36" s="292"/>
      <c r="GC36" s="292"/>
      <c r="GD36" s="292"/>
      <c r="GE36" s="292"/>
      <c r="GF36" s="292"/>
      <c r="GG36" s="292"/>
      <c r="GH36" s="292"/>
      <c r="GI36" s="292"/>
      <c r="GJ36" s="292"/>
      <c r="GK36" s="292"/>
      <c r="GL36" s="292"/>
      <c r="GM36" s="292"/>
      <c r="GN36" s="292"/>
      <c r="GO36" s="292"/>
      <c r="GP36" s="292"/>
      <c r="GQ36" s="292"/>
      <c r="GR36" s="292"/>
      <c r="GS36" s="292"/>
      <c r="GT36" s="292"/>
      <c r="GU36" s="292"/>
      <c r="GV36" s="292"/>
      <c r="GW36" s="292"/>
      <c r="GX36" s="292"/>
      <c r="GY36" s="292"/>
      <c r="GZ36" s="292"/>
      <c r="HA36" s="292"/>
      <c r="HB36" s="292"/>
      <c r="HC36" s="292"/>
      <c r="HD36" s="292"/>
      <c r="HE36" s="292"/>
      <c r="HF36" s="292"/>
      <c r="HG36" s="292"/>
      <c r="HH36" s="292"/>
      <c r="HI36" s="292"/>
      <c r="HJ36" s="292"/>
      <c r="HK36" s="292"/>
      <c r="HL36" s="292"/>
      <c r="HM36" s="292"/>
      <c r="HN36" s="292"/>
      <c r="HO36" s="292"/>
      <c r="HP36" s="292"/>
      <c r="HQ36" s="292"/>
      <c r="HR36" s="292"/>
      <c r="HS36" s="292"/>
      <c r="HT36" s="292"/>
      <c r="HU36" s="292"/>
      <c r="HV36" s="292"/>
      <c r="HW36" s="292"/>
    </row>
    <row r="37" spans="1:232" ht="15.6" customHeight="1">
      <c r="C37" s="305"/>
      <c r="F37" s="303"/>
      <c r="G37" s="288"/>
      <c r="H37" s="288"/>
      <c r="I37" s="288"/>
      <c r="J37" s="288"/>
      <c r="K37" s="925"/>
      <c r="L37" s="922"/>
      <c r="M37" s="926"/>
      <c r="O37" s="922"/>
      <c r="P37" s="922"/>
      <c r="Q37" s="922"/>
      <c r="R37" s="922"/>
      <c r="S37" s="922"/>
      <c r="T37" s="922"/>
      <c r="U37" s="291"/>
      <c r="V37" s="291"/>
      <c r="W37" s="291"/>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c r="DC37" s="292"/>
      <c r="DD37" s="292"/>
      <c r="DE37" s="292"/>
      <c r="DF37" s="292"/>
      <c r="DG37" s="292"/>
      <c r="DH37" s="292"/>
      <c r="DI37" s="292"/>
      <c r="DJ37" s="292"/>
      <c r="DK37" s="292"/>
      <c r="DL37" s="292"/>
      <c r="DM37" s="292"/>
      <c r="DN37" s="292"/>
      <c r="DO37" s="292"/>
      <c r="DP37" s="292"/>
      <c r="DQ37" s="292"/>
      <c r="DR37" s="292"/>
      <c r="DS37" s="292"/>
      <c r="DT37" s="292"/>
      <c r="DU37" s="292"/>
      <c r="DV37" s="292"/>
      <c r="DW37" s="292"/>
      <c r="DX37" s="292"/>
      <c r="DY37" s="292"/>
      <c r="DZ37" s="292"/>
      <c r="EA37" s="292"/>
      <c r="EB37" s="292"/>
      <c r="EC37" s="292"/>
      <c r="ED37" s="292"/>
      <c r="EE37" s="292"/>
      <c r="EF37" s="292"/>
      <c r="EG37" s="292"/>
      <c r="EH37" s="292"/>
      <c r="EI37" s="292"/>
      <c r="EJ37" s="292"/>
      <c r="EK37" s="292"/>
      <c r="EL37" s="292"/>
      <c r="EM37" s="292"/>
      <c r="EN37" s="292"/>
      <c r="EO37" s="292"/>
      <c r="EP37" s="292"/>
      <c r="EQ37" s="292"/>
      <c r="ER37" s="292"/>
      <c r="ES37" s="292"/>
      <c r="ET37" s="292"/>
      <c r="EU37" s="292"/>
      <c r="EV37" s="292"/>
      <c r="EW37" s="292"/>
      <c r="EX37" s="292"/>
      <c r="EY37" s="292"/>
      <c r="EZ37" s="292"/>
      <c r="FA37" s="292"/>
      <c r="FB37" s="292"/>
      <c r="FC37" s="292"/>
      <c r="FD37" s="292"/>
      <c r="FE37" s="292"/>
      <c r="FF37" s="292"/>
      <c r="FG37" s="292"/>
      <c r="FH37" s="292"/>
      <c r="FI37" s="292"/>
      <c r="FJ37" s="292"/>
      <c r="FK37" s="292"/>
      <c r="FL37" s="292"/>
      <c r="FM37" s="292"/>
      <c r="FN37" s="292"/>
      <c r="FO37" s="292"/>
      <c r="FP37" s="292"/>
      <c r="FQ37" s="292"/>
      <c r="FR37" s="292"/>
      <c r="FS37" s="292"/>
      <c r="FT37" s="292"/>
      <c r="FU37" s="292"/>
      <c r="FV37" s="292"/>
      <c r="FW37" s="292"/>
      <c r="FX37" s="292"/>
      <c r="FY37" s="292"/>
      <c r="FZ37" s="292"/>
      <c r="GA37" s="292"/>
      <c r="GB37" s="292"/>
      <c r="GC37" s="292"/>
      <c r="GD37" s="292"/>
      <c r="GE37" s="292"/>
      <c r="GF37" s="292"/>
      <c r="GG37" s="292"/>
      <c r="GH37" s="292"/>
      <c r="GI37" s="292"/>
      <c r="GJ37" s="292"/>
      <c r="GK37" s="292"/>
      <c r="GL37" s="292"/>
      <c r="GM37" s="292"/>
      <c r="GN37" s="292"/>
      <c r="GO37" s="292"/>
      <c r="GP37" s="292"/>
      <c r="GQ37" s="292"/>
      <c r="GR37" s="292"/>
      <c r="GS37" s="292"/>
      <c r="GT37" s="292"/>
      <c r="GU37" s="292"/>
      <c r="GV37" s="292"/>
      <c r="GW37" s="292"/>
      <c r="GX37" s="292"/>
      <c r="GY37" s="292"/>
      <c r="GZ37" s="292"/>
      <c r="HA37" s="292"/>
      <c r="HB37" s="292"/>
      <c r="HC37" s="292"/>
      <c r="HD37" s="292"/>
      <c r="HE37" s="292"/>
      <c r="HF37" s="292"/>
      <c r="HG37" s="292"/>
      <c r="HH37" s="292"/>
      <c r="HI37" s="292"/>
      <c r="HJ37" s="292"/>
      <c r="HK37" s="292"/>
      <c r="HL37" s="292"/>
      <c r="HM37" s="292"/>
      <c r="HN37" s="292"/>
      <c r="HO37" s="292"/>
      <c r="HP37" s="292"/>
      <c r="HQ37" s="292"/>
      <c r="HR37" s="292"/>
      <c r="HS37" s="292"/>
      <c r="HT37" s="292"/>
      <c r="HU37" s="292"/>
      <c r="HV37" s="292"/>
      <c r="HW37" s="292"/>
    </row>
    <row r="38" spans="1:232" ht="15.6" customHeight="1">
      <c r="A38" s="295" t="s">
        <v>886</v>
      </c>
      <c r="B38" s="307">
        <f>SUM(B21:B36)</f>
        <v>822241000</v>
      </c>
      <c r="C38" s="307">
        <f>SUM(C21:C36)</f>
        <v>848413000</v>
      </c>
      <c r="D38" s="308"/>
      <c r="E38" s="309">
        <f>(C38/B38)-1</f>
        <v>3.183008388051678E-2</v>
      </c>
      <c r="F38" s="288"/>
      <c r="G38" s="288"/>
      <c r="H38" s="288"/>
      <c r="I38" s="288"/>
      <c r="J38" s="288"/>
      <c r="K38" s="925"/>
      <c r="L38" s="922"/>
      <c r="M38" s="926"/>
      <c r="N38" s="922"/>
      <c r="O38" s="922"/>
      <c r="P38" s="922"/>
      <c r="Q38" s="922"/>
      <c r="R38" s="922"/>
      <c r="S38" s="922"/>
      <c r="T38" s="922"/>
      <c r="U38" s="291"/>
      <c r="V38" s="291"/>
      <c r="W38" s="291"/>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c r="CQ38" s="292"/>
      <c r="CR38" s="292"/>
      <c r="CS38" s="292"/>
      <c r="CT38" s="292"/>
      <c r="CU38" s="292"/>
      <c r="CV38" s="292"/>
      <c r="CW38" s="292"/>
      <c r="CX38" s="292"/>
      <c r="CY38" s="292"/>
      <c r="CZ38" s="292"/>
      <c r="DA38" s="292"/>
      <c r="DB38" s="292"/>
      <c r="DC38" s="292"/>
      <c r="DD38" s="292"/>
      <c r="DE38" s="292"/>
      <c r="DF38" s="292"/>
      <c r="DG38" s="292"/>
      <c r="DH38" s="292"/>
      <c r="DI38" s="292"/>
      <c r="DJ38" s="292"/>
      <c r="DK38" s="292"/>
      <c r="DL38" s="292"/>
      <c r="DM38" s="292"/>
      <c r="DN38" s="292"/>
      <c r="DO38" s="292"/>
      <c r="DP38" s="292"/>
      <c r="DQ38" s="292"/>
      <c r="DR38" s="292"/>
      <c r="DS38" s="292"/>
      <c r="DT38" s="292"/>
      <c r="DU38" s="292"/>
      <c r="DV38" s="292"/>
      <c r="DW38" s="292"/>
      <c r="DX38" s="292"/>
      <c r="DY38" s="292"/>
      <c r="DZ38" s="292"/>
      <c r="EA38" s="292"/>
      <c r="EB38" s="292"/>
      <c r="EC38" s="292"/>
      <c r="ED38" s="292"/>
      <c r="EE38" s="292"/>
      <c r="EF38" s="292"/>
      <c r="EG38" s="292"/>
      <c r="EH38" s="292"/>
      <c r="EI38" s="292"/>
      <c r="EJ38" s="292"/>
      <c r="EK38" s="292"/>
      <c r="EL38" s="292"/>
      <c r="EM38" s="292"/>
      <c r="EN38" s="292"/>
      <c r="EO38" s="292"/>
      <c r="EP38" s="292"/>
      <c r="EQ38" s="292"/>
      <c r="ER38" s="292"/>
      <c r="ES38" s="292"/>
      <c r="ET38" s="292"/>
      <c r="EU38" s="292"/>
      <c r="EV38" s="292"/>
      <c r="EW38" s="292"/>
      <c r="EX38" s="292"/>
      <c r="EY38" s="292"/>
      <c r="EZ38" s="292"/>
      <c r="FA38" s="292"/>
      <c r="FB38" s="292"/>
      <c r="FC38" s="292"/>
      <c r="FD38" s="292"/>
      <c r="FE38" s="292"/>
      <c r="FF38" s="292"/>
      <c r="FG38" s="292"/>
      <c r="FH38" s="292"/>
      <c r="FI38" s="292"/>
      <c r="FJ38" s="292"/>
      <c r="FK38" s="292"/>
      <c r="FL38" s="292"/>
      <c r="FM38" s="292"/>
      <c r="FN38" s="292"/>
      <c r="FO38" s="292"/>
      <c r="FP38" s="292"/>
      <c r="FQ38" s="292"/>
      <c r="FR38" s="292"/>
      <c r="FS38" s="292"/>
      <c r="FT38" s="292"/>
      <c r="FU38" s="292"/>
      <c r="FV38" s="292"/>
      <c r="FW38" s="292"/>
      <c r="FX38" s="292"/>
      <c r="FY38" s="292"/>
      <c r="FZ38" s="292"/>
      <c r="GA38" s="292"/>
      <c r="GB38" s="292"/>
      <c r="GC38" s="292"/>
      <c r="GD38" s="292"/>
      <c r="GE38" s="292"/>
      <c r="GF38" s="292"/>
      <c r="GG38" s="292"/>
      <c r="GH38" s="292"/>
      <c r="GI38" s="292"/>
      <c r="GJ38" s="292"/>
      <c r="GK38" s="292"/>
      <c r="GL38" s="292"/>
      <c r="GM38" s="292"/>
      <c r="GN38" s="292"/>
      <c r="GO38" s="292"/>
      <c r="GP38" s="292"/>
      <c r="GQ38" s="292"/>
      <c r="GR38" s="292"/>
      <c r="GS38" s="292"/>
      <c r="GT38" s="292"/>
      <c r="GU38" s="292"/>
      <c r="GV38" s="292"/>
      <c r="GW38" s="292"/>
      <c r="GX38" s="292"/>
      <c r="GY38" s="292"/>
      <c r="GZ38" s="292"/>
      <c r="HA38" s="292"/>
      <c r="HB38" s="292"/>
      <c r="HC38" s="292"/>
      <c r="HD38" s="292"/>
      <c r="HE38" s="292"/>
      <c r="HF38" s="292"/>
      <c r="HG38" s="292"/>
      <c r="HH38" s="292"/>
      <c r="HI38" s="292"/>
      <c r="HJ38" s="292"/>
      <c r="HK38" s="292"/>
      <c r="HL38" s="292"/>
      <c r="HM38" s="292"/>
      <c r="HN38" s="292"/>
      <c r="HO38" s="292"/>
      <c r="HP38" s="292"/>
      <c r="HQ38" s="292"/>
      <c r="HR38" s="292"/>
      <c r="HS38" s="292"/>
      <c r="HT38" s="292"/>
      <c r="HU38" s="292"/>
      <c r="HV38" s="292"/>
      <c r="HW38" s="292"/>
    </row>
    <row r="39" spans="1:232" ht="15.6" customHeight="1">
      <c r="A39" s="312"/>
      <c r="B39" s="313"/>
      <c r="C39" s="313"/>
      <c r="D39" s="314"/>
      <c r="E39" s="315"/>
      <c r="F39" s="303"/>
      <c r="G39" s="288"/>
      <c r="H39" s="288"/>
      <c r="I39" s="288"/>
      <c r="J39" s="288"/>
      <c r="K39" s="925"/>
      <c r="L39" s="922"/>
      <c r="M39" s="926"/>
      <c r="N39" s="922"/>
      <c r="O39" s="922"/>
      <c r="P39" s="922"/>
      <c r="Q39" s="922"/>
      <c r="R39" s="922"/>
      <c r="S39" s="922"/>
      <c r="T39" s="922"/>
      <c r="U39" s="291"/>
      <c r="V39" s="291"/>
      <c r="W39" s="291"/>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c r="CA39" s="292"/>
      <c r="CB39" s="292"/>
      <c r="CC39" s="292"/>
      <c r="CD39" s="292"/>
      <c r="CE39" s="292"/>
      <c r="CF39" s="292"/>
      <c r="CG39" s="292"/>
      <c r="CH39" s="292"/>
      <c r="CI39" s="292"/>
      <c r="CJ39" s="292"/>
      <c r="CK39" s="292"/>
      <c r="CL39" s="292"/>
      <c r="CM39" s="292"/>
      <c r="CN39" s="292"/>
      <c r="CO39" s="292"/>
      <c r="CP39" s="292"/>
      <c r="CQ39" s="292"/>
      <c r="CR39" s="292"/>
      <c r="CS39" s="292"/>
      <c r="CT39" s="292"/>
      <c r="CU39" s="292"/>
      <c r="CV39" s="292"/>
      <c r="CW39" s="292"/>
      <c r="CX39" s="292"/>
      <c r="CY39" s="292"/>
      <c r="CZ39" s="292"/>
      <c r="DA39" s="292"/>
      <c r="DB39" s="292"/>
      <c r="DC39" s="292"/>
      <c r="DD39" s="292"/>
      <c r="DE39" s="292"/>
      <c r="DF39" s="292"/>
      <c r="DG39" s="292"/>
      <c r="DH39" s="292"/>
      <c r="DI39" s="292"/>
      <c r="DJ39" s="292"/>
      <c r="DK39" s="292"/>
      <c r="DL39" s="292"/>
      <c r="DM39" s="292"/>
      <c r="DN39" s="292"/>
      <c r="DO39" s="292"/>
      <c r="DP39" s="292"/>
      <c r="DQ39" s="292"/>
      <c r="DR39" s="292"/>
      <c r="DS39" s="292"/>
      <c r="DT39" s="292"/>
      <c r="DU39" s="292"/>
      <c r="DV39" s="292"/>
      <c r="DW39" s="292"/>
      <c r="DX39" s="292"/>
      <c r="DY39" s="292"/>
      <c r="DZ39" s="292"/>
      <c r="EA39" s="292"/>
      <c r="EB39" s="292"/>
      <c r="EC39" s="292"/>
      <c r="ED39" s="292"/>
      <c r="EE39" s="292"/>
      <c r="EF39" s="292"/>
      <c r="EG39" s="292"/>
      <c r="EH39" s="292"/>
      <c r="EI39" s="292"/>
      <c r="EJ39" s="292"/>
      <c r="EK39" s="292"/>
      <c r="EL39" s="292"/>
      <c r="EM39" s="292"/>
      <c r="EN39" s="292"/>
      <c r="EO39" s="292"/>
      <c r="EP39" s="292"/>
      <c r="EQ39" s="292"/>
      <c r="ER39" s="292"/>
      <c r="ES39" s="292"/>
      <c r="ET39" s="292"/>
      <c r="EU39" s="292"/>
      <c r="EV39" s="292"/>
      <c r="EW39" s="292"/>
      <c r="EX39" s="292"/>
      <c r="EY39" s="292"/>
      <c r="EZ39" s="292"/>
      <c r="FA39" s="292"/>
      <c r="FB39" s="292"/>
      <c r="FC39" s="292"/>
      <c r="FD39" s="292"/>
      <c r="FE39" s="292"/>
      <c r="FF39" s="292"/>
      <c r="FG39" s="292"/>
      <c r="FH39" s="292"/>
      <c r="FI39" s="292"/>
      <c r="FJ39" s="292"/>
      <c r="FK39" s="292"/>
      <c r="FL39" s="292"/>
      <c r="FM39" s="292"/>
      <c r="FN39" s="292"/>
      <c r="FO39" s="292"/>
      <c r="FP39" s="292"/>
      <c r="FQ39" s="292"/>
      <c r="FR39" s="292"/>
      <c r="FS39" s="292"/>
      <c r="FT39" s="292"/>
      <c r="FU39" s="292"/>
      <c r="FV39" s="292"/>
      <c r="FW39" s="292"/>
      <c r="FX39" s="292"/>
      <c r="FY39" s="292"/>
      <c r="FZ39" s="292"/>
      <c r="GA39" s="292"/>
      <c r="GB39" s="292"/>
      <c r="GC39" s="292"/>
      <c r="GD39" s="292"/>
      <c r="GE39" s="292"/>
      <c r="GF39" s="292"/>
      <c r="GG39" s="292"/>
      <c r="GH39" s="292"/>
      <c r="GI39" s="292"/>
      <c r="GJ39" s="292"/>
      <c r="GK39" s="292"/>
      <c r="GL39" s="292"/>
      <c r="GM39" s="292"/>
      <c r="GN39" s="292"/>
      <c r="GO39" s="292"/>
      <c r="GP39" s="292"/>
      <c r="GQ39" s="292"/>
      <c r="GR39" s="292"/>
      <c r="GS39" s="292"/>
      <c r="GT39" s="292"/>
      <c r="GU39" s="292"/>
      <c r="GV39" s="292"/>
      <c r="GW39" s="292"/>
      <c r="GX39" s="292"/>
      <c r="GY39" s="292"/>
      <c r="GZ39" s="292"/>
      <c r="HA39" s="292"/>
      <c r="HB39" s="292"/>
      <c r="HC39" s="292"/>
      <c r="HD39" s="292"/>
      <c r="HE39" s="292"/>
      <c r="HF39" s="292"/>
      <c r="HG39" s="292"/>
      <c r="HH39" s="292"/>
      <c r="HI39" s="292"/>
      <c r="HJ39" s="292"/>
      <c r="HK39" s="292"/>
      <c r="HL39" s="292"/>
      <c r="HM39" s="292"/>
      <c r="HN39" s="292"/>
      <c r="HO39" s="292"/>
      <c r="HP39" s="292"/>
      <c r="HQ39" s="292"/>
      <c r="HR39" s="292"/>
      <c r="HS39" s="292"/>
      <c r="HT39" s="292"/>
      <c r="HU39" s="292"/>
      <c r="HV39" s="292"/>
      <c r="HW39" s="292"/>
    </row>
    <row r="40" spans="1:232" ht="15.75">
      <c r="A40" s="316" t="s">
        <v>0</v>
      </c>
      <c r="B40" s="317">
        <f>SUM(B18,B38)</f>
        <v>21375278000</v>
      </c>
      <c r="C40" s="317">
        <f>SUM(C18,C38)</f>
        <v>21792091000</v>
      </c>
      <c r="D40" s="318"/>
      <c r="E40" s="319">
        <f>(C40/B40)-1</f>
        <v>1.9499769780771947E-2</v>
      </c>
      <c r="F40" s="288"/>
      <c r="G40" s="288"/>
      <c r="H40" s="288"/>
      <c r="I40" s="288"/>
      <c r="J40" s="288"/>
      <c r="K40" s="925"/>
      <c r="L40" s="922"/>
      <c r="M40" s="926"/>
      <c r="N40" s="922"/>
      <c r="O40" s="922"/>
      <c r="P40" s="922"/>
      <c r="Q40" s="922"/>
      <c r="R40" s="922"/>
      <c r="S40" s="922"/>
      <c r="T40" s="922"/>
      <c r="U40" s="291"/>
      <c r="V40" s="291"/>
      <c r="W40" s="291"/>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2"/>
      <c r="CN40" s="292"/>
      <c r="CO40" s="292"/>
      <c r="CP40" s="292"/>
      <c r="CQ40" s="292"/>
      <c r="CR40" s="292"/>
      <c r="CS40" s="292"/>
      <c r="CT40" s="292"/>
      <c r="CU40" s="292"/>
      <c r="CV40" s="292"/>
      <c r="CW40" s="292"/>
      <c r="CX40" s="292"/>
      <c r="CY40" s="292"/>
      <c r="CZ40" s="292"/>
      <c r="DA40" s="292"/>
      <c r="DB40" s="292"/>
      <c r="DC40" s="292"/>
      <c r="DD40" s="292"/>
      <c r="DE40" s="292"/>
      <c r="DF40" s="292"/>
      <c r="DG40" s="292"/>
      <c r="DH40" s="292"/>
      <c r="DI40" s="292"/>
      <c r="DJ40" s="292"/>
      <c r="DK40" s="292"/>
      <c r="DL40" s="292"/>
      <c r="DM40" s="292"/>
      <c r="DN40" s="292"/>
      <c r="DO40" s="292"/>
      <c r="DP40" s="292"/>
      <c r="DQ40" s="292"/>
      <c r="DR40" s="292"/>
      <c r="DS40" s="292"/>
      <c r="DT40" s="292"/>
      <c r="DU40" s="292"/>
      <c r="DV40" s="292"/>
      <c r="DW40" s="292"/>
      <c r="DX40" s="292"/>
      <c r="DY40" s="292"/>
      <c r="DZ40" s="292"/>
      <c r="EA40" s="292"/>
      <c r="EB40" s="292"/>
      <c r="EC40" s="292"/>
      <c r="ED40" s="292"/>
      <c r="EE40" s="292"/>
      <c r="EF40" s="292"/>
      <c r="EG40" s="292"/>
      <c r="EH40" s="292"/>
      <c r="EI40" s="292"/>
      <c r="EJ40" s="292"/>
      <c r="EK40" s="292"/>
      <c r="EL40" s="292"/>
      <c r="EM40" s="292"/>
      <c r="EN40" s="292"/>
      <c r="EO40" s="292"/>
      <c r="EP40" s="292"/>
      <c r="EQ40" s="292"/>
      <c r="ER40" s="292"/>
      <c r="ES40" s="292"/>
      <c r="ET40" s="292"/>
      <c r="EU40" s="292"/>
      <c r="EV40" s="292"/>
      <c r="EW40" s="292"/>
      <c r="EX40" s="292"/>
      <c r="EY40" s="292"/>
      <c r="EZ40" s="292"/>
      <c r="FA40" s="292"/>
      <c r="FB40" s="292"/>
      <c r="FC40" s="292"/>
      <c r="FD40" s="292"/>
      <c r="FE40" s="292"/>
      <c r="FF40" s="292"/>
      <c r="FG40" s="292"/>
      <c r="FH40" s="292"/>
      <c r="FI40" s="292"/>
      <c r="FJ40" s="292"/>
      <c r="FK40" s="292"/>
      <c r="FL40" s="292"/>
      <c r="FM40" s="292"/>
      <c r="FN40" s="292"/>
      <c r="FO40" s="292"/>
      <c r="FP40" s="292"/>
      <c r="FQ40" s="292"/>
      <c r="FR40" s="292"/>
      <c r="FS40" s="292"/>
      <c r="FT40" s="292"/>
      <c r="FU40" s="292"/>
      <c r="FV40" s="292"/>
      <c r="FW40" s="292"/>
      <c r="FX40" s="292"/>
      <c r="FY40" s="292"/>
      <c r="FZ40" s="292"/>
      <c r="GA40" s="292"/>
      <c r="GB40" s="292"/>
      <c r="GC40" s="292"/>
      <c r="GD40" s="292"/>
      <c r="GE40" s="292"/>
      <c r="GF40" s="292"/>
      <c r="GG40" s="292"/>
      <c r="GH40" s="292"/>
      <c r="GI40" s="292"/>
      <c r="GJ40" s="292"/>
      <c r="GK40" s="292"/>
      <c r="GL40" s="292"/>
      <c r="GM40" s="292"/>
      <c r="GN40" s="292"/>
      <c r="GO40" s="292"/>
      <c r="GP40" s="292"/>
      <c r="GQ40" s="292"/>
      <c r="GR40" s="292"/>
      <c r="GS40" s="292"/>
      <c r="GT40" s="292"/>
      <c r="GU40" s="292"/>
      <c r="GV40" s="292"/>
      <c r="GW40" s="292"/>
      <c r="GX40" s="292"/>
      <c r="GY40" s="292"/>
      <c r="GZ40" s="292"/>
      <c r="HA40" s="292"/>
      <c r="HB40" s="292"/>
      <c r="HC40" s="292"/>
      <c r="HD40" s="292"/>
      <c r="HE40" s="292"/>
      <c r="HF40" s="292"/>
      <c r="HG40" s="292"/>
      <c r="HH40" s="292"/>
      <c r="HI40" s="292"/>
      <c r="HJ40" s="292"/>
      <c r="HK40" s="292"/>
      <c r="HL40" s="292"/>
      <c r="HM40" s="292"/>
      <c r="HN40" s="292"/>
      <c r="HO40" s="292"/>
      <c r="HP40" s="292"/>
      <c r="HQ40" s="292"/>
      <c r="HR40" s="292"/>
      <c r="HS40" s="292"/>
      <c r="HT40" s="292"/>
      <c r="HU40" s="292"/>
      <c r="HV40" s="292"/>
      <c r="HW40" s="292"/>
    </row>
    <row r="41" spans="1:232">
      <c r="F41" s="288"/>
      <c r="G41" s="288"/>
      <c r="H41" s="288"/>
      <c r="I41" s="288"/>
      <c r="J41" s="288"/>
      <c r="K41" s="925"/>
      <c r="L41" s="922"/>
      <c r="M41" s="922"/>
      <c r="N41" s="922"/>
      <c r="O41" s="922"/>
      <c r="P41" s="922"/>
      <c r="Q41" s="924"/>
      <c r="R41" s="922"/>
      <c r="S41" s="922"/>
      <c r="T41" s="922"/>
      <c r="U41" s="291"/>
      <c r="V41" s="291"/>
      <c r="W41" s="291"/>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c r="CJ41" s="292"/>
      <c r="CK41" s="292"/>
      <c r="CL41" s="292"/>
      <c r="CM41" s="292"/>
      <c r="CN41" s="292"/>
      <c r="CO41" s="292"/>
      <c r="CP41" s="292"/>
      <c r="CQ41" s="292"/>
      <c r="CR41" s="292"/>
      <c r="CS41" s="292"/>
      <c r="CT41" s="292"/>
      <c r="CU41" s="292"/>
      <c r="CV41" s="292"/>
      <c r="CW41" s="292"/>
      <c r="CX41" s="292"/>
      <c r="CY41" s="292"/>
      <c r="CZ41" s="292"/>
      <c r="DA41" s="292"/>
      <c r="DB41" s="292"/>
      <c r="DC41" s="292"/>
      <c r="DD41" s="292"/>
      <c r="DE41" s="292"/>
      <c r="DF41" s="292"/>
      <c r="DG41" s="292"/>
      <c r="DH41" s="292"/>
      <c r="DI41" s="292"/>
      <c r="DJ41" s="292"/>
      <c r="DK41" s="292"/>
      <c r="DL41" s="292"/>
      <c r="DM41" s="292"/>
      <c r="DN41" s="292"/>
      <c r="DO41" s="292"/>
      <c r="DP41" s="292"/>
      <c r="DQ41" s="292"/>
      <c r="DR41" s="292"/>
      <c r="DS41" s="292"/>
      <c r="DT41" s="292"/>
      <c r="DU41" s="292"/>
      <c r="DV41" s="292"/>
      <c r="DW41" s="292"/>
      <c r="DX41" s="292"/>
      <c r="DY41" s="292"/>
      <c r="DZ41" s="292"/>
      <c r="EA41" s="292"/>
      <c r="EB41" s="292"/>
      <c r="EC41" s="292"/>
      <c r="ED41" s="292"/>
      <c r="EE41" s="292"/>
      <c r="EF41" s="292"/>
      <c r="EG41" s="292"/>
      <c r="EH41" s="292"/>
      <c r="EI41" s="292"/>
      <c r="EJ41" s="292"/>
      <c r="EK41" s="292"/>
      <c r="EL41" s="292"/>
      <c r="EM41" s="292"/>
      <c r="EN41" s="292"/>
      <c r="EO41" s="292"/>
      <c r="EP41" s="292"/>
      <c r="EQ41" s="292"/>
      <c r="ER41" s="292"/>
      <c r="ES41" s="292"/>
      <c r="ET41" s="292"/>
      <c r="EU41" s="292"/>
      <c r="EV41" s="292"/>
      <c r="EW41" s="292"/>
      <c r="EX41" s="292"/>
      <c r="EY41" s="292"/>
      <c r="EZ41" s="292"/>
      <c r="FA41" s="292"/>
      <c r="FB41" s="292"/>
      <c r="FC41" s="292"/>
      <c r="FD41" s="292"/>
      <c r="FE41" s="292"/>
      <c r="FF41" s="292"/>
      <c r="FG41" s="292"/>
      <c r="FH41" s="292"/>
      <c r="FI41" s="292"/>
      <c r="FJ41" s="292"/>
      <c r="FK41" s="292"/>
      <c r="FL41" s="292"/>
      <c r="FM41" s="292"/>
      <c r="FN41" s="292"/>
      <c r="FO41" s="292"/>
      <c r="FP41" s="292"/>
      <c r="FQ41" s="292"/>
      <c r="FR41" s="292"/>
      <c r="FS41" s="292"/>
      <c r="FT41" s="292"/>
      <c r="FU41" s="292"/>
      <c r="FV41" s="292"/>
      <c r="FW41" s="292"/>
      <c r="FX41" s="292"/>
      <c r="FY41" s="292"/>
      <c r="FZ41" s="292"/>
      <c r="GA41" s="292"/>
      <c r="GB41" s="292"/>
      <c r="GC41" s="292"/>
      <c r="GD41" s="292"/>
      <c r="GE41" s="292"/>
      <c r="GF41" s="292"/>
      <c r="GG41" s="292"/>
      <c r="GH41" s="292"/>
      <c r="GI41" s="292"/>
      <c r="GJ41" s="292"/>
      <c r="GK41" s="292"/>
      <c r="GL41" s="292"/>
      <c r="GM41" s="292"/>
      <c r="GN41" s="292"/>
      <c r="GO41" s="292"/>
      <c r="GP41" s="292"/>
      <c r="GQ41" s="292"/>
      <c r="GR41" s="292"/>
      <c r="GS41" s="292"/>
      <c r="GT41" s="292"/>
      <c r="GU41" s="292"/>
      <c r="GV41" s="292"/>
      <c r="GW41" s="292"/>
      <c r="GX41" s="292"/>
      <c r="GY41" s="292"/>
      <c r="GZ41" s="292"/>
      <c r="HA41" s="292"/>
      <c r="HB41" s="292"/>
      <c r="HC41" s="292"/>
      <c r="HD41" s="292"/>
      <c r="HE41" s="292"/>
      <c r="HF41" s="292"/>
      <c r="HG41" s="292"/>
      <c r="HH41" s="292"/>
      <c r="HI41" s="292"/>
      <c r="HJ41" s="292"/>
      <c r="HK41" s="292"/>
      <c r="HL41" s="292"/>
      <c r="HM41" s="292"/>
      <c r="HN41" s="292"/>
      <c r="HO41" s="292"/>
      <c r="HP41" s="292"/>
      <c r="HQ41" s="292"/>
      <c r="HR41" s="292"/>
      <c r="HS41" s="292"/>
      <c r="HT41" s="292"/>
      <c r="HU41" s="292"/>
      <c r="HV41" s="292"/>
      <c r="HW41" s="292"/>
    </row>
    <row r="42" spans="1:232" ht="15.95" customHeight="1">
      <c r="A42" s="320"/>
      <c r="B42" s="321"/>
      <c r="C42" s="482"/>
      <c r="D42" s="314"/>
      <c r="E42" s="322"/>
      <c r="F42" s="288"/>
      <c r="G42" s="288"/>
      <c r="H42" s="288"/>
      <c r="I42" s="288"/>
      <c r="J42" s="288"/>
      <c r="K42" s="921"/>
      <c r="L42" s="922"/>
      <c r="M42" s="922"/>
      <c r="N42" s="922"/>
      <c r="O42" s="922"/>
      <c r="P42" s="922"/>
      <c r="Q42" s="922"/>
      <c r="R42" s="922"/>
      <c r="S42" s="922"/>
      <c r="T42" s="922"/>
      <c r="U42" s="291"/>
      <c r="V42" s="291"/>
      <c r="W42" s="291"/>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c r="DJ42" s="292"/>
      <c r="DK42" s="292"/>
      <c r="DL42" s="292"/>
      <c r="DM42" s="292"/>
      <c r="DN42" s="292"/>
      <c r="DO42" s="292"/>
      <c r="DP42" s="292"/>
      <c r="DQ42" s="292"/>
      <c r="DR42" s="292"/>
      <c r="DS42" s="292"/>
      <c r="DT42" s="292"/>
      <c r="DU42" s="292"/>
      <c r="DV42" s="292"/>
      <c r="DW42" s="292"/>
      <c r="DX42" s="292"/>
      <c r="DY42" s="292"/>
      <c r="DZ42" s="292"/>
      <c r="EA42" s="292"/>
      <c r="EB42" s="292"/>
      <c r="EC42" s="292"/>
      <c r="ED42" s="292"/>
      <c r="EE42" s="292"/>
      <c r="EF42" s="292"/>
      <c r="EG42" s="292"/>
      <c r="EH42" s="292"/>
      <c r="EI42" s="292"/>
      <c r="EJ42" s="292"/>
      <c r="EK42" s="292"/>
      <c r="EL42" s="292"/>
      <c r="EM42" s="292"/>
      <c r="EN42" s="292"/>
      <c r="EO42" s="292"/>
      <c r="EP42" s="292"/>
      <c r="EQ42" s="292"/>
      <c r="ER42" s="292"/>
      <c r="ES42" s="292"/>
      <c r="ET42" s="292"/>
      <c r="EU42" s="292"/>
      <c r="EV42" s="292"/>
      <c r="EW42" s="292"/>
      <c r="EX42" s="292"/>
      <c r="EY42" s="292"/>
      <c r="EZ42" s="292"/>
      <c r="FA42" s="292"/>
      <c r="FB42" s="292"/>
      <c r="FC42" s="292"/>
      <c r="FD42" s="292"/>
      <c r="FE42" s="292"/>
      <c r="FF42" s="292"/>
      <c r="FG42" s="292"/>
      <c r="FH42" s="292"/>
      <c r="FI42" s="292"/>
      <c r="FJ42" s="292"/>
      <c r="FK42" s="292"/>
      <c r="FL42" s="292"/>
      <c r="FM42" s="292"/>
      <c r="FN42" s="292"/>
      <c r="FO42" s="292"/>
      <c r="FP42" s="292"/>
      <c r="FQ42" s="292"/>
      <c r="FR42" s="292"/>
      <c r="FS42" s="292"/>
      <c r="FT42" s="292"/>
      <c r="FU42" s="292"/>
      <c r="FV42" s="292"/>
      <c r="FW42" s="292"/>
      <c r="FX42" s="292"/>
      <c r="FY42" s="292"/>
      <c r="FZ42" s="292"/>
      <c r="GA42" s="292"/>
      <c r="GB42" s="292"/>
      <c r="GC42" s="292"/>
      <c r="GD42" s="292"/>
      <c r="GE42" s="292"/>
      <c r="GF42" s="292"/>
      <c r="GG42" s="292"/>
      <c r="GH42" s="292"/>
      <c r="GI42" s="292"/>
      <c r="GJ42" s="292"/>
      <c r="GK42" s="292"/>
      <c r="GL42" s="292"/>
      <c r="GM42" s="292"/>
      <c r="GN42" s="292"/>
      <c r="GO42" s="292"/>
      <c r="GP42" s="292"/>
      <c r="GQ42" s="292"/>
      <c r="GR42" s="292"/>
      <c r="GS42" s="292"/>
      <c r="GT42" s="292"/>
      <c r="GU42" s="292"/>
      <c r="GV42" s="292"/>
      <c r="GW42" s="292"/>
      <c r="GX42" s="292"/>
      <c r="GY42" s="292"/>
      <c r="GZ42" s="292"/>
      <c r="HA42" s="292"/>
      <c r="HB42" s="292"/>
      <c r="HC42" s="292"/>
      <c r="HD42" s="292"/>
      <c r="HE42" s="292"/>
      <c r="HF42" s="292"/>
      <c r="HG42" s="292"/>
      <c r="HH42" s="292"/>
      <c r="HI42" s="292"/>
      <c r="HJ42" s="292"/>
      <c r="HK42" s="292"/>
      <c r="HL42" s="292"/>
      <c r="HM42" s="292"/>
      <c r="HN42" s="292"/>
      <c r="HO42" s="292"/>
      <c r="HP42" s="292"/>
      <c r="HQ42" s="292"/>
      <c r="HR42" s="292"/>
      <c r="HS42" s="292"/>
      <c r="HT42" s="292"/>
      <c r="HU42" s="292"/>
      <c r="HV42" s="292"/>
      <c r="HW42" s="292"/>
    </row>
    <row r="43" spans="1:232" ht="15.6" customHeight="1">
      <c r="A43" s="323" t="s">
        <v>1</v>
      </c>
      <c r="B43" s="323"/>
      <c r="C43" s="323"/>
      <c r="D43" s="324"/>
      <c r="E43" s="325"/>
      <c r="F43" s="288"/>
      <c r="G43" s="288"/>
      <c r="H43" s="288"/>
      <c r="I43" s="288"/>
      <c r="J43" s="288"/>
      <c r="K43" s="925"/>
      <c r="L43" s="922"/>
      <c r="M43" s="922"/>
      <c r="N43" s="928"/>
      <c r="O43" s="928"/>
      <c r="P43" s="923"/>
      <c r="Q43" s="923"/>
      <c r="R43" s="923"/>
      <c r="S43" s="923"/>
      <c r="T43" s="923"/>
      <c r="U43" s="291"/>
      <c r="V43" s="291"/>
      <c r="W43" s="291"/>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c r="DJ43" s="292"/>
      <c r="DK43" s="292"/>
      <c r="DL43" s="292"/>
      <c r="DM43" s="292"/>
      <c r="DN43" s="292"/>
      <c r="DO43" s="292"/>
      <c r="DP43" s="292"/>
      <c r="DQ43" s="292"/>
      <c r="DR43" s="292"/>
      <c r="DS43" s="292"/>
      <c r="DT43" s="292"/>
      <c r="DU43" s="292"/>
      <c r="DV43" s="292"/>
      <c r="DW43" s="292"/>
      <c r="DX43" s="292"/>
      <c r="DY43" s="292"/>
      <c r="DZ43" s="292"/>
      <c r="EA43" s="292"/>
      <c r="EB43" s="292"/>
      <c r="EC43" s="292"/>
      <c r="ED43" s="292"/>
      <c r="EE43" s="292"/>
      <c r="EF43" s="292"/>
      <c r="EG43" s="292"/>
      <c r="EH43" s="292"/>
      <c r="EI43" s="292"/>
      <c r="EJ43" s="292"/>
      <c r="EK43" s="292"/>
      <c r="EL43" s="292"/>
      <c r="EM43" s="292"/>
      <c r="EN43" s="292"/>
      <c r="EO43" s="292"/>
      <c r="EP43" s="292"/>
      <c r="EQ43" s="292"/>
      <c r="ER43" s="292"/>
      <c r="ES43" s="292"/>
      <c r="ET43" s="292"/>
      <c r="EU43" s="292"/>
      <c r="EV43" s="292"/>
      <c r="EW43" s="292"/>
      <c r="EX43" s="292"/>
      <c r="EY43" s="292"/>
      <c r="EZ43" s="292"/>
      <c r="FA43" s="292"/>
      <c r="FB43" s="292"/>
      <c r="FC43" s="292"/>
      <c r="FD43" s="292"/>
      <c r="FE43" s="292"/>
      <c r="FF43" s="292"/>
      <c r="FG43" s="292"/>
      <c r="FH43" s="292"/>
      <c r="FI43" s="292"/>
      <c r="FJ43" s="292"/>
      <c r="FK43" s="292"/>
      <c r="FL43" s="292"/>
      <c r="FM43" s="292"/>
      <c r="FN43" s="292"/>
      <c r="FO43" s="292"/>
      <c r="FP43" s="292"/>
      <c r="FQ43" s="292"/>
      <c r="FR43" s="292"/>
      <c r="FS43" s="292"/>
      <c r="FT43" s="292"/>
      <c r="FU43" s="292"/>
      <c r="FV43" s="292"/>
      <c r="FW43" s="292"/>
      <c r="FX43" s="292"/>
      <c r="FY43" s="292"/>
      <c r="FZ43" s="292"/>
      <c r="GA43" s="292"/>
      <c r="GB43" s="292"/>
      <c r="GC43" s="292"/>
      <c r="GD43" s="292"/>
      <c r="GE43" s="292"/>
      <c r="GF43" s="292"/>
      <c r="GG43" s="292"/>
      <c r="GH43" s="292"/>
      <c r="GI43" s="292"/>
      <c r="GJ43" s="292"/>
      <c r="GK43" s="292"/>
      <c r="GL43" s="292"/>
      <c r="GM43" s="292"/>
      <c r="GN43" s="292"/>
      <c r="GO43" s="292"/>
      <c r="GP43" s="292"/>
      <c r="GQ43" s="292"/>
      <c r="GR43" s="292"/>
      <c r="GS43" s="292"/>
      <c r="GT43" s="292"/>
      <c r="GU43" s="292"/>
      <c r="GV43" s="292"/>
      <c r="GW43" s="292"/>
      <c r="GX43" s="292"/>
      <c r="GY43" s="292"/>
      <c r="GZ43" s="292"/>
      <c r="HA43" s="292"/>
      <c r="HB43" s="292"/>
      <c r="HC43" s="292"/>
      <c r="HD43" s="292"/>
      <c r="HE43" s="292"/>
      <c r="HF43" s="292"/>
      <c r="HG43" s="292"/>
      <c r="HH43" s="292"/>
      <c r="HI43" s="292"/>
      <c r="HJ43" s="292"/>
      <c r="HK43" s="292"/>
      <c r="HL43" s="292"/>
      <c r="HM43" s="292"/>
      <c r="HN43" s="292"/>
      <c r="HO43" s="292"/>
      <c r="HP43" s="292"/>
      <c r="HQ43" s="292"/>
      <c r="HR43" s="292"/>
      <c r="HS43" s="292"/>
      <c r="HT43" s="292"/>
      <c r="HU43" s="292"/>
      <c r="HV43" s="292"/>
      <c r="HW43" s="292"/>
      <c r="HX43" s="292"/>
    </row>
    <row r="44" spans="1:232" ht="14.1" customHeight="1">
      <c r="A44" s="387" t="s">
        <v>1012</v>
      </c>
      <c r="B44" s="325"/>
      <c r="C44" s="325"/>
      <c r="D44" s="324"/>
      <c r="E44" s="326"/>
      <c r="F44" s="290"/>
      <c r="G44" s="290"/>
      <c r="H44" s="290"/>
      <c r="I44" s="290"/>
      <c r="J44" s="288"/>
      <c r="K44" s="921"/>
      <c r="L44" s="922"/>
      <c r="M44" s="922"/>
      <c r="N44" s="922"/>
      <c r="O44" s="928"/>
      <c r="P44" s="923"/>
      <c r="Q44" s="923"/>
      <c r="R44" s="923"/>
      <c r="S44" s="923"/>
      <c r="T44" s="923"/>
      <c r="U44" s="291"/>
      <c r="V44" s="291"/>
      <c r="W44" s="291"/>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92"/>
      <c r="CB44" s="292"/>
      <c r="CC44" s="292"/>
      <c r="CD44" s="292"/>
      <c r="CE44" s="292"/>
      <c r="CF44" s="292"/>
      <c r="CG44" s="292"/>
      <c r="CH44" s="292"/>
      <c r="CI44" s="292"/>
      <c r="CJ44" s="292"/>
      <c r="CK44" s="292"/>
      <c r="CL44" s="292"/>
      <c r="CM44" s="292"/>
      <c r="CN44" s="292"/>
      <c r="CO44" s="292"/>
      <c r="CP44" s="292"/>
      <c r="CQ44" s="292"/>
      <c r="CR44" s="292"/>
      <c r="CS44" s="292"/>
      <c r="CT44" s="292"/>
      <c r="CU44" s="292"/>
      <c r="CV44" s="292"/>
      <c r="CW44" s="292"/>
      <c r="CX44" s="292"/>
      <c r="CY44" s="292"/>
      <c r="CZ44" s="292"/>
      <c r="DA44" s="292"/>
      <c r="DB44" s="292"/>
      <c r="DC44" s="292"/>
      <c r="DD44" s="292"/>
      <c r="DE44" s="292"/>
      <c r="DF44" s="292"/>
      <c r="DG44" s="292"/>
      <c r="DH44" s="292"/>
      <c r="DI44" s="292"/>
      <c r="DJ44" s="292"/>
      <c r="DK44" s="292"/>
      <c r="DL44" s="292"/>
      <c r="DM44" s="292"/>
      <c r="DN44" s="292"/>
      <c r="DO44" s="292"/>
      <c r="DP44" s="292"/>
      <c r="DQ44" s="292"/>
      <c r="DR44" s="292"/>
      <c r="DS44" s="292"/>
      <c r="DT44" s="292"/>
      <c r="DU44" s="292"/>
      <c r="DV44" s="292"/>
      <c r="DW44" s="292"/>
      <c r="DX44" s="292"/>
      <c r="DY44" s="292"/>
      <c r="DZ44" s="292"/>
      <c r="EA44" s="292"/>
      <c r="EB44" s="292"/>
      <c r="EC44" s="292"/>
      <c r="ED44" s="292"/>
      <c r="EE44" s="292"/>
      <c r="EF44" s="292"/>
      <c r="EG44" s="292"/>
      <c r="EH44" s="292"/>
      <c r="EI44" s="292"/>
      <c r="EJ44" s="292"/>
      <c r="EK44" s="292"/>
      <c r="EL44" s="292"/>
      <c r="EM44" s="292"/>
      <c r="EN44" s="292"/>
      <c r="EO44" s="292"/>
      <c r="EP44" s="292"/>
      <c r="EQ44" s="292"/>
      <c r="ER44" s="292"/>
      <c r="ES44" s="292"/>
      <c r="ET44" s="292"/>
      <c r="EU44" s="292"/>
      <c r="EV44" s="292"/>
      <c r="EW44" s="292"/>
      <c r="EX44" s="292"/>
      <c r="EY44" s="292"/>
      <c r="EZ44" s="292"/>
      <c r="FA44" s="292"/>
      <c r="FB44" s="292"/>
      <c r="FC44" s="292"/>
      <c r="FD44" s="292"/>
      <c r="FE44" s="292"/>
      <c r="FF44" s="292"/>
      <c r="FG44" s="292"/>
      <c r="FH44" s="292"/>
      <c r="FI44" s="292"/>
      <c r="FJ44" s="292"/>
      <c r="FK44" s="292"/>
      <c r="FL44" s="292"/>
      <c r="FM44" s="292"/>
      <c r="FN44" s="292"/>
      <c r="FO44" s="292"/>
      <c r="FP44" s="292"/>
      <c r="FQ44" s="292"/>
      <c r="FR44" s="292"/>
      <c r="FS44" s="292"/>
      <c r="FT44" s="292"/>
      <c r="FU44" s="292"/>
      <c r="FV44" s="292"/>
      <c r="FW44" s="292"/>
      <c r="FX44" s="292"/>
      <c r="FY44" s="292"/>
      <c r="FZ44" s="292"/>
      <c r="GA44" s="292"/>
      <c r="GB44" s="292"/>
      <c r="GC44" s="292"/>
      <c r="GD44" s="292"/>
      <c r="GE44" s="292"/>
      <c r="GF44" s="292"/>
      <c r="GG44" s="292"/>
      <c r="GH44" s="292"/>
      <c r="GI44" s="292"/>
      <c r="GJ44" s="292"/>
      <c r="GK44" s="292"/>
      <c r="GL44" s="292"/>
      <c r="GM44" s="292"/>
      <c r="GN44" s="292"/>
      <c r="GO44" s="292"/>
      <c r="GP44" s="292"/>
      <c r="GQ44" s="292"/>
      <c r="GR44" s="292"/>
      <c r="GS44" s="292"/>
      <c r="GT44" s="292"/>
      <c r="GU44" s="292"/>
      <c r="GV44" s="292"/>
      <c r="GW44" s="292"/>
      <c r="GX44" s="292"/>
      <c r="GY44" s="292"/>
      <c r="GZ44" s="292"/>
      <c r="HA44" s="292"/>
      <c r="HB44" s="292"/>
      <c r="HC44" s="292"/>
      <c r="HD44" s="292"/>
      <c r="HE44" s="292"/>
      <c r="HF44" s="292"/>
      <c r="HG44" s="292"/>
      <c r="HH44" s="292"/>
      <c r="HI44" s="292"/>
      <c r="HJ44" s="292"/>
      <c r="HK44" s="292"/>
      <c r="HL44" s="292"/>
      <c r="HM44" s="292"/>
      <c r="HN44" s="292"/>
      <c r="HO44" s="292"/>
      <c r="HP44" s="292"/>
      <c r="HQ44" s="292"/>
      <c r="HR44" s="292"/>
      <c r="HS44" s="292"/>
      <c r="HT44" s="292"/>
      <c r="HU44" s="292"/>
      <c r="HV44" s="292"/>
      <c r="HW44" s="292"/>
      <c r="HX44" s="292"/>
    </row>
    <row r="45" spans="1:232" ht="14.1" customHeight="1">
      <c r="A45" s="387" t="s">
        <v>31</v>
      </c>
      <c r="B45" s="325"/>
      <c r="C45" s="325"/>
      <c r="D45" s="324"/>
      <c r="E45" s="326"/>
      <c r="F45" s="323"/>
      <c r="G45" s="323"/>
      <c r="H45" s="323"/>
      <c r="I45" s="323"/>
      <c r="J45" s="288"/>
      <c r="K45" s="921"/>
      <c r="L45" s="922"/>
      <c r="O45" s="924"/>
      <c r="P45" s="924"/>
      <c r="Q45" s="924"/>
      <c r="R45" s="924"/>
      <c r="S45" s="924"/>
      <c r="T45" s="924"/>
      <c r="U45" s="291"/>
      <c r="V45" s="291"/>
      <c r="W45" s="291"/>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c r="DJ45" s="292"/>
      <c r="DK45" s="292"/>
      <c r="DL45" s="292"/>
      <c r="DM45" s="292"/>
      <c r="DN45" s="292"/>
      <c r="DO45" s="292"/>
      <c r="DP45" s="292"/>
      <c r="DQ45" s="292"/>
      <c r="DR45" s="292"/>
      <c r="DS45" s="292"/>
      <c r="DT45" s="292"/>
      <c r="DU45" s="292"/>
      <c r="DV45" s="292"/>
      <c r="DW45" s="292"/>
      <c r="DX45" s="292"/>
      <c r="DY45" s="292"/>
      <c r="DZ45" s="292"/>
      <c r="EA45" s="292"/>
      <c r="EB45" s="292"/>
      <c r="EC45" s="292"/>
      <c r="ED45" s="292"/>
      <c r="EE45" s="292"/>
      <c r="EF45" s="292"/>
      <c r="EG45" s="292"/>
      <c r="EH45" s="292"/>
      <c r="EI45" s="292"/>
      <c r="EJ45" s="292"/>
      <c r="EK45" s="292"/>
      <c r="EL45" s="292"/>
      <c r="EM45" s="292"/>
      <c r="EN45" s="292"/>
      <c r="EO45" s="292"/>
      <c r="EP45" s="292"/>
      <c r="EQ45" s="292"/>
      <c r="ER45" s="292"/>
      <c r="ES45" s="292"/>
      <c r="ET45" s="292"/>
      <c r="EU45" s="292"/>
      <c r="EV45" s="292"/>
      <c r="EW45" s="292"/>
      <c r="EX45" s="292"/>
      <c r="EY45" s="292"/>
      <c r="EZ45" s="292"/>
      <c r="FA45" s="292"/>
      <c r="FB45" s="292"/>
      <c r="FC45" s="292"/>
      <c r="FD45" s="292"/>
      <c r="FE45" s="292"/>
      <c r="FF45" s="292"/>
      <c r="FG45" s="292"/>
      <c r="FH45" s="292"/>
      <c r="FI45" s="292"/>
      <c r="FJ45" s="292"/>
      <c r="FK45" s="292"/>
      <c r="FL45" s="292"/>
      <c r="FM45" s="292"/>
      <c r="FN45" s="292"/>
      <c r="FO45" s="292"/>
      <c r="FP45" s="292"/>
      <c r="FQ45" s="292"/>
      <c r="FR45" s="292"/>
      <c r="FS45" s="292"/>
      <c r="FT45" s="292"/>
      <c r="FU45" s="292"/>
      <c r="FV45" s="292"/>
      <c r="FW45" s="292"/>
      <c r="FX45" s="292"/>
      <c r="FY45" s="292"/>
      <c r="FZ45" s="292"/>
      <c r="GA45" s="292"/>
      <c r="GB45" s="292"/>
      <c r="GC45" s="292"/>
      <c r="GD45" s="292"/>
      <c r="GE45" s="292"/>
      <c r="GF45" s="292"/>
      <c r="GG45" s="292"/>
      <c r="GH45" s="292"/>
      <c r="GI45" s="292"/>
      <c r="GJ45" s="292"/>
      <c r="GK45" s="292"/>
      <c r="GL45" s="292"/>
      <c r="GM45" s="292"/>
      <c r="GN45" s="292"/>
      <c r="GO45" s="292"/>
      <c r="GP45" s="292"/>
      <c r="GQ45" s="292"/>
      <c r="GR45" s="292"/>
      <c r="GS45" s="292"/>
      <c r="GT45" s="292"/>
      <c r="GU45" s="292"/>
      <c r="GV45" s="292"/>
      <c r="GW45" s="292"/>
      <c r="GX45" s="292"/>
      <c r="GY45" s="292"/>
      <c r="GZ45" s="292"/>
      <c r="HA45" s="292"/>
      <c r="HB45" s="292"/>
      <c r="HC45" s="292"/>
      <c r="HD45" s="292"/>
      <c r="HE45" s="292"/>
      <c r="HF45" s="292"/>
      <c r="HG45" s="292"/>
      <c r="HH45" s="292"/>
      <c r="HI45" s="292"/>
      <c r="HJ45" s="292"/>
      <c r="HK45" s="292"/>
      <c r="HL45" s="292"/>
      <c r="HM45" s="292"/>
      <c r="HN45" s="292"/>
      <c r="HO45" s="292"/>
      <c r="HP45" s="292"/>
      <c r="HQ45" s="292"/>
      <c r="HR45" s="292"/>
      <c r="HS45" s="292"/>
      <c r="HT45" s="292"/>
      <c r="HU45" s="292"/>
      <c r="HV45" s="292"/>
      <c r="HW45" s="292"/>
      <c r="HX45" s="292"/>
    </row>
    <row r="46" spans="1:232" ht="14.1" customHeight="1">
      <c r="A46" s="323" t="s">
        <v>32</v>
      </c>
      <c r="B46" s="325"/>
      <c r="C46" s="325"/>
      <c r="D46" s="324"/>
      <c r="E46" s="326"/>
      <c r="F46" s="323"/>
      <c r="G46" s="323"/>
      <c r="H46" s="323"/>
      <c r="I46" s="323"/>
      <c r="J46" s="288"/>
      <c r="K46" s="921"/>
      <c r="L46" s="922"/>
      <c r="M46" s="922"/>
      <c r="N46" s="922"/>
      <c r="O46" s="922"/>
      <c r="P46" s="922"/>
      <c r="Q46" s="929"/>
      <c r="R46" s="922"/>
      <c r="S46" s="922"/>
      <c r="T46" s="922"/>
      <c r="U46" s="291"/>
      <c r="V46" s="291"/>
      <c r="W46" s="291"/>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A46" s="292"/>
      <c r="CB46" s="292"/>
      <c r="CC46" s="292"/>
      <c r="CD46" s="292"/>
      <c r="CE46" s="292"/>
      <c r="CF46" s="292"/>
      <c r="CG46" s="292"/>
      <c r="CH46" s="292"/>
      <c r="CI46" s="292"/>
      <c r="CJ46" s="292"/>
      <c r="CK46" s="292"/>
      <c r="CL46" s="292"/>
      <c r="CM46" s="292"/>
      <c r="CN46" s="292"/>
      <c r="CO46" s="292"/>
      <c r="CP46" s="292"/>
      <c r="CQ46" s="292"/>
      <c r="CR46" s="292"/>
      <c r="CS46" s="292"/>
      <c r="CT46" s="292"/>
      <c r="CU46" s="292"/>
      <c r="CV46" s="292"/>
      <c r="CW46" s="292"/>
      <c r="CX46" s="292"/>
      <c r="CY46" s="292"/>
      <c r="CZ46" s="292"/>
      <c r="DA46" s="292"/>
      <c r="DB46" s="292"/>
      <c r="DC46" s="292"/>
      <c r="DD46" s="292"/>
      <c r="DE46" s="292"/>
      <c r="DF46" s="292"/>
      <c r="DG46" s="292"/>
      <c r="DH46" s="292"/>
      <c r="DI46" s="292"/>
      <c r="DJ46" s="292"/>
      <c r="DK46" s="292"/>
      <c r="DL46" s="292"/>
      <c r="DM46" s="292"/>
      <c r="DN46" s="292"/>
      <c r="DO46" s="292"/>
      <c r="DP46" s="292"/>
      <c r="DQ46" s="292"/>
      <c r="DR46" s="292"/>
      <c r="DS46" s="292"/>
      <c r="DT46" s="292"/>
      <c r="DU46" s="292"/>
      <c r="DV46" s="292"/>
      <c r="DW46" s="292"/>
      <c r="DX46" s="292"/>
      <c r="DY46" s="292"/>
      <c r="DZ46" s="292"/>
      <c r="EA46" s="292"/>
      <c r="EB46" s="292"/>
      <c r="EC46" s="292"/>
      <c r="ED46" s="292"/>
      <c r="EE46" s="292"/>
      <c r="EF46" s="292"/>
      <c r="EG46" s="292"/>
      <c r="EH46" s="292"/>
      <c r="EI46" s="292"/>
      <c r="EJ46" s="292"/>
      <c r="EK46" s="292"/>
      <c r="EL46" s="292"/>
      <c r="EM46" s="292"/>
      <c r="EN46" s="292"/>
      <c r="EO46" s="292"/>
      <c r="EP46" s="292"/>
      <c r="EQ46" s="292"/>
      <c r="ER46" s="292"/>
      <c r="ES46" s="292"/>
      <c r="ET46" s="292"/>
      <c r="EU46" s="292"/>
      <c r="EV46" s="292"/>
      <c r="EW46" s="292"/>
      <c r="EX46" s="292"/>
      <c r="EY46" s="292"/>
      <c r="EZ46" s="292"/>
      <c r="FA46" s="292"/>
      <c r="FB46" s="292"/>
      <c r="FC46" s="292"/>
      <c r="FD46" s="292"/>
      <c r="FE46" s="292"/>
      <c r="FF46" s="292"/>
      <c r="FG46" s="292"/>
      <c r="FH46" s="292"/>
      <c r="FI46" s="292"/>
      <c r="FJ46" s="292"/>
      <c r="FK46" s="292"/>
      <c r="FL46" s="292"/>
      <c r="FM46" s="292"/>
      <c r="FN46" s="292"/>
      <c r="FO46" s="292"/>
      <c r="FP46" s="292"/>
      <c r="FQ46" s="292"/>
      <c r="FR46" s="292"/>
      <c r="FS46" s="292"/>
      <c r="FT46" s="292"/>
      <c r="FU46" s="292"/>
      <c r="FV46" s="292"/>
      <c r="FW46" s="292"/>
      <c r="FX46" s="292"/>
      <c r="FY46" s="292"/>
      <c r="FZ46" s="292"/>
      <c r="GA46" s="292"/>
      <c r="GB46" s="292"/>
      <c r="GC46" s="292"/>
      <c r="GD46" s="292"/>
      <c r="GE46" s="292"/>
      <c r="GF46" s="292"/>
      <c r="GG46" s="292"/>
      <c r="GH46" s="292"/>
      <c r="GI46" s="292"/>
      <c r="GJ46" s="292"/>
      <c r="GK46" s="292"/>
      <c r="GL46" s="292"/>
      <c r="GM46" s="292"/>
      <c r="GN46" s="292"/>
      <c r="GO46" s="292"/>
      <c r="GP46" s="292"/>
      <c r="GQ46" s="292"/>
      <c r="GR46" s="292"/>
      <c r="GS46" s="292"/>
      <c r="GT46" s="292"/>
      <c r="GU46" s="292"/>
      <c r="GV46" s="292"/>
      <c r="GW46" s="292"/>
      <c r="GX46" s="292"/>
      <c r="GY46" s="292"/>
      <c r="GZ46" s="292"/>
      <c r="HA46" s="292"/>
      <c r="HB46" s="292"/>
      <c r="HC46" s="292"/>
      <c r="HD46" s="292"/>
      <c r="HE46" s="292"/>
      <c r="HF46" s="292"/>
      <c r="HG46" s="292"/>
      <c r="HH46" s="292"/>
      <c r="HI46" s="292"/>
      <c r="HJ46" s="292"/>
      <c r="HK46" s="292"/>
      <c r="HL46" s="292"/>
      <c r="HM46" s="292"/>
      <c r="HN46" s="292"/>
      <c r="HO46" s="292"/>
      <c r="HP46" s="292"/>
      <c r="HQ46" s="292"/>
      <c r="HR46" s="292"/>
      <c r="HS46" s="292"/>
      <c r="HT46" s="292"/>
      <c r="HU46" s="292"/>
      <c r="HV46" s="292"/>
      <c r="HW46" s="292"/>
    </row>
    <row r="47" spans="1:232" ht="14.1" customHeight="1">
      <c r="A47" s="1313" t="s">
        <v>1140</v>
      </c>
      <c r="B47" s="1314"/>
      <c r="C47" s="1314"/>
      <c r="D47" s="1314"/>
      <c r="E47" s="1314"/>
      <c r="F47" s="1314"/>
      <c r="G47" s="1314"/>
      <c r="H47" s="323"/>
      <c r="I47" s="323"/>
      <c r="J47" s="288"/>
      <c r="K47" s="921"/>
      <c r="L47" s="922"/>
      <c r="M47" s="922"/>
      <c r="N47" s="930"/>
      <c r="O47" s="930"/>
      <c r="P47" s="922"/>
      <c r="Q47" s="922"/>
      <c r="R47" s="922"/>
      <c r="S47" s="922"/>
      <c r="T47" s="922"/>
      <c r="U47" s="291"/>
      <c r="V47" s="291"/>
      <c r="W47" s="291"/>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A47" s="292"/>
      <c r="CB47" s="292"/>
      <c r="CC47" s="292"/>
      <c r="CD47" s="292"/>
      <c r="CE47" s="292"/>
      <c r="CF47" s="292"/>
      <c r="CG47" s="292"/>
      <c r="CH47" s="292"/>
      <c r="CI47" s="292"/>
      <c r="CJ47" s="292"/>
      <c r="CK47" s="292"/>
      <c r="CL47" s="292"/>
      <c r="CM47" s="292"/>
      <c r="CN47" s="292"/>
      <c r="CO47" s="292"/>
      <c r="CP47" s="292"/>
      <c r="CQ47" s="292"/>
      <c r="CR47" s="292"/>
      <c r="CS47" s="292"/>
      <c r="CT47" s="292"/>
      <c r="CU47" s="292"/>
      <c r="CV47" s="292"/>
      <c r="CW47" s="292"/>
      <c r="CX47" s="292"/>
      <c r="CY47" s="292"/>
      <c r="CZ47" s="292"/>
      <c r="DA47" s="292"/>
      <c r="DB47" s="292"/>
      <c r="DC47" s="292"/>
      <c r="DD47" s="292"/>
      <c r="DE47" s="292"/>
      <c r="DF47" s="292"/>
      <c r="DG47" s="292"/>
      <c r="DH47" s="292"/>
      <c r="DI47" s="292"/>
      <c r="DJ47" s="292"/>
      <c r="DK47" s="292"/>
      <c r="DL47" s="292"/>
      <c r="DM47" s="292"/>
      <c r="DN47" s="292"/>
      <c r="DO47" s="292"/>
      <c r="DP47" s="292"/>
      <c r="DQ47" s="292"/>
      <c r="DR47" s="292"/>
      <c r="DS47" s="292"/>
      <c r="DT47" s="292"/>
      <c r="DU47" s="292"/>
      <c r="DV47" s="292"/>
      <c r="DW47" s="292"/>
      <c r="DX47" s="292"/>
      <c r="DY47" s="292"/>
      <c r="DZ47" s="292"/>
      <c r="EA47" s="292"/>
      <c r="EB47" s="292"/>
      <c r="EC47" s="292"/>
      <c r="ED47" s="292"/>
      <c r="EE47" s="292"/>
      <c r="EF47" s="292"/>
      <c r="EG47" s="292"/>
      <c r="EH47" s="292"/>
      <c r="EI47" s="292"/>
      <c r="EJ47" s="292"/>
      <c r="EK47" s="292"/>
      <c r="EL47" s="292"/>
      <c r="EM47" s="292"/>
      <c r="EN47" s="292"/>
      <c r="EO47" s="292"/>
      <c r="EP47" s="292"/>
      <c r="EQ47" s="292"/>
      <c r="ER47" s="292"/>
      <c r="ES47" s="292"/>
      <c r="ET47" s="292"/>
      <c r="EU47" s="292"/>
      <c r="EV47" s="292"/>
      <c r="EW47" s="292"/>
      <c r="EX47" s="292"/>
      <c r="EY47" s="292"/>
      <c r="EZ47" s="292"/>
      <c r="FA47" s="292"/>
      <c r="FB47" s="292"/>
      <c r="FC47" s="292"/>
      <c r="FD47" s="292"/>
      <c r="FE47" s="292"/>
      <c r="FF47" s="292"/>
      <c r="FG47" s="292"/>
      <c r="FH47" s="292"/>
      <c r="FI47" s="292"/>
      <c r="FJ47" s="292"/>
      <c r="FK47" s="292"/>
      <c r="FL47" s="292"/>
      <c r="FM47" s="292"/>
      <c r="FN47" s="292"/>
      <c r="FO47" s="292"/>
      <c r="FP47" s="292"/>
      <c r="FQ47" s="292"/>
      <c r="FR47" s="292"/>
      <c r="FS47" s="292"/>
      <c r="FT47" s="292"/>
      <c r="FU47" s="292"/>
      <c r="FV47" s="292"/>
      <c r="FW47" s="292"/>
      <c r="FX47" s="292"/>
      <c r="FY47" s="292"/>
      <c r="FZ47" s="292"/>
      <c r="GA47" s="292"/>
      <c r="GB47" s="292"/>
      <c r="GC47" s="292"/>
      <c r="GD47" s="292"/>
      <c r="GE47" s="292"/>
      <c r="GF47" s="292"/>
      <c r="GG47" s="292"/>
      <c r="GH47" s="292"/>
      <c r="GI47" s="292"/>
      <c r="GJ47" s="292"/>
      <c r="GK47" s="292"/>
      <c r="GL47" s="292"/>
      <c r="GM47" s="292"/>
      <c r="GN47" s="292"/>
      <c r="GO47" s="292"/>
      <c r="GP47" s="292"/>
      <c r="GQ47" s="292"/>
      <c r="GR47" s="292"/>
      <c r="GS47" s="292"/>
      <c r="GT47" s="292"/>
      <c r="GU47" s="292"/>
      <c r="GV47" s="292"/>
      <c r="GW47" s="292"/>
      <c r="GX47" s="292"/>
      <c r="GY47" s="292"/>
      <c r="GZ47" s="292"/>
      <c r="HA47" s="292"/>
      <c r="HB47" s="292"/>
      <c r="HC47" s="292"/>
      <c r="HD47" s="292"/>
      <c r="HE47" s="292"/>
      <c r="HF47" s="292"/>
      <c r="HG47" s="292"/>
      <c r="HH47" s="292"/>
      <c r="HI47" s="292"/>
      <c r="HJ47" s="292"/>
      <c r="HK47" s="292"/>
      <c r="HL47" s="292"/>
      <c r="HM47" s="292"/>
      <c r="HN47" s="292"/>
      <c r="HO47" s="292"/>
      <c r="HP47" s="292"/>
      <c r="HQ47" s="292"/>
      <c r="HR47" s="292"/>
      <c r="HS47" s="292"/>
      <c r="HT47" s="292"/>
      <c r="HU47" s="292"/>
      <c r="HV47" s="292"/>
      <c r="HW47" s="292"/>
    </row>
    <row r="48" spans="1:232" ht="14.25" customHeight="1">
      <c r="A48" s="1315" t="s">
        <v>1045</v>
      </c>
      <c r="B48" s="1316"/>
      <c r="C48" s="1316"/>
      <c r="D48" s="1316"/>
      <c r="E48" s="1316"/>
      <c r="F48" s="1316"/>
      <c r="G48" s="1316"/>
      <c r="H48" s="1316"/>
      <c r="I48" s="1316"/>
      <c r="J48" s="288"/>
      <c r="K48" s="921"/>
      <c r="L48" s="922"/>
      <c r="M48" s="922"/>
      <c r="N48" s="930"/>
      <c r="O48" s="930"/>
      <c r="P48" s="922"/>
      <c r="Q48" s="922"/>
      <c r="R48" s="922"/>
      <c r="S48" s="922"/>
      <c r="T48" s="922"/>
      <c r="U48" s="291"/>
      <c r="V48" s="291"/>
      <c r="W48" s="291"/>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c r="DJ48" s="292"/>
      <c r="DK48" s="292"/>
      <c r="DL48" s="292"/>
      <c r="DM48" s="292"/>
      <c r="DN48" s="292"/>
      <c r="DO48" s="292"/>
      <c r="DP48" s="292"/>
      <c r="DQ48" s="292"/>
      <c r="DR48" s="292"/>
      <c r="DS48" s="292"/>
      <c r="DT48" s="292"/>
      <c r="DU48" s="292"/>
      <c r="DV48" s="292"/>
      <c r="DW48" s="292"/>
      <c r="DX48" s="292"/>
      <c r="DY48" s="292"/>
      <c r="DZ48" s="292"/>
      <c r="EA48" s="292"/>
      <c r="EB48" s="292"/>
      <c r="EC48" s="292"/>
      <c r="ED48" s="292"/>
      <c r="EE48" s="292"/>
      <c r="EF48" s="292"/>
      <c r="EG48" s="292"/>
      <c r="EH48" s="292"/>
      <c r="EI48" s="292"/>
      <c r="EJ48" s="292"/>
      <c r="EK48" s="292"/>
      <c r="EL48" s="292"/>
      <c r="EM48" s="292"/>
      <c r="EN48" s="292"/>
      <c r="EO48" s="292"/>
      <c r="EP48" s="292"/>
      <c r="EQ48" s="292"/>
      <c r="ER48" s="292"/>
      <c r="ES48" s="292"/>
      <c r="ET48" s="292"/>
      <c r="EU48" s="292"/>
      <c r="EV48" s="292"/>
      <c r="EW48" s="292"/>
      <c r="EX48" s="292"/>
      <c r="EY48" s="292"/>
      <c r="EZ48" s="292"/>
      <c r="FA48" s="292"/>
      <c r="FB48" s="292"/>
      <c r="FC48" s="292"/>
      <c r="FD48" s="292"/>
      <c r="FE48" s="292"/>
      <c r="FF48" s="292"/>
      <c r="FG48" s="292"/>
      <c r="FH48" s="292"/>
      <c r="FI48" s="292"/>
      <c r="FJ48" s="292"/>
      <c r="FK48" s="292"/>
      <c r="FL48" s="292"/>
      <c r="FM48" s="292"/>
      <c r="FN48" s="292"/>
      <c r="FO48" s="292"/>
      <c r="FP48" s="292"/>
      <c r="FQ48" s="292"/>
      <c r="FR48" s="292"/>
      <c r="FS48" s="292"/>
      <c r="FT48" s="292"/>
      <c r="FU48" s="292"/>
      <c r="FV48" s="292"/>
      <c r="FW48" s="292"/>
      <c r="FX48" s="292"/>
      <c r="FY48" s="292"/>
      <c r="FZ48" s="292"/>
      <c r="GA48" s="292"/>
      <c r="GB48" s="292"/>
      <c r="GC48" s="292"/>
      <c r="GD48" s="292"/>
      <c r="GE48" s="292"/>
      <c r="GF48" s="292"/>
      <c r="GG48" s="292"/>
      <c r="GH48" s="292"/>
      <c r="GI48" s="292"/>
      <c r="GJ48" s="292"/>
      <c r="GK48" s="292"/>
      <c r="GL48" s="292"/>
      <c r="GM48" s="292"/>
      <c r="GN48" s="292"/>
      <c r="GO48" s="292"/>
      <c r="GP48" s="292"/>
      <c r="GQ48" s="292"/>
      <c r="GR48" s="292"/>
      <c r="GS48" s="292"/>
      <c r="GT48" s="292"/>
      <c r="GU48" s="292"/>
      <c r="GV48" s="292"/>
      <c r="GW48" s="292"/>
      <c r="GX48" s="292"/>
      <c r="GY48" s="292"/>
      <c r="GZ48" s="292"/>
      <c r="HA48" s="292"/>
      <c r="HB48" s="292"/>
      <c r="HC48" s="292"/>
      <c r="HD48" s="292"/>
      <c r="HE48" s="292"/>
      <c r="HF48" s="292"/>
      <c r="HG48" s="292"/>
      <c r="HH48" s="292"/>
      <c r="HI48" s="292"/>
      <c r="HJ48" s="292"/>
      <c r="HK48" s="292"/>
      <c r="HL48" s="292"/>
      <c r="HM48" s="292"/>
      <c r="HN48" s="292"/>
      <c r="HO48" s="292"/>
      <c r="HP48" s="292"/>
      <c r="HQ48" s="292"/>
      <c r="HR48" s="292"/>
      <c r="HS48" s="292"/>
      <c r="HT48" s="292"/>
      <c r="HU48" s="292"/>
      <c r="HV48" s="292"/>
      <c r="HW48" s="292"/>
    </row>
    <row r="49" spans="1:231" ht="12" customHeight="1">
      <c r="A49" s="278"/>
      <c r="B49" s="327"/>
      <c r="C49" s="327"/>
      <c r="D49" s="327"/>
      <c r="E49" s="327"/>
      <c r="F49" s="327"/>
      <c r="G49" s="327"/>
      <c r="H49" s="290"/>
      <c r="I49" s="290"/>
      <c r="J49" s="288"/>
      <c r="K49" s="921"/>
      <c r="L49" s="922"/>
      <c r="M49" s="922"/>
      <c r="N49" s="930"/>
      <c r="O49" s="930"/>
      <c r="P49" s="922"/>
      <c r="Q49" s="922"/>
      <c r="R49" s="922"/>
      <c r="S49" s="922"/>
      <c r="T49" s="922"/>
      <c r="U49" s="291"/>
      <c r="V49" s="291"/>
      <c r="W49" s="291"/>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c r="CA49" s="292"/>
      <c r="CB49" s="292"/>
      <c r="CC49" s="292"/>
      <c r="CD49" s="292"/>
      <c r="CE49" s="292"/>
      <c r="CF49" s="292"/>
      <c r="CG49" s="292"/>
      <c r="CH49" s="292"/>
      <c r="CI49" s="292"/>
      <c r="CJ49" s="292"/>
      <c r="CK49" s="292"/>
      <c r="CL49" s="292"/>
      <c r="CM49" s="292"/>
      <c r="CN49" s="292"/>
      <c r="CO49" s="292"/>
      <c r="CP49" s="292"/>
      <c r="CQ49" s="292"/>
      <c r="CR49" s="292"/>
      <c r="CS49" s="292"/>
      <c r="CT49" s="292"/>
      <c r="CU49" s="292"/>
      <c r="CV49" s="292"/>
      <c r="CW49" s="292"/>
      <c r="CX49" s="292"/>
      <c r="CY49" s="292"/>
      <c r="CZ49" s="292"/>
      <c r="DA49" s="292"/>
      <c r="DB49" s="292"/>
      <c r="DC49" s="292"/>
      <c r="DD49" s="292"/>
      <c r="DE49" s="292"/>
      <c r="DF49" s="292"/>
      <c r="DG49" s="292"/>
      <c r="DH49" s="292"/>
      <c r="DI49" s="292"/>
      <c r="DJ49" s="292"/>
      <c r="DK49" s="292"/>
      <c r="DL49" s="292"/>
      <c r="DM49" s="292"/>
      <c r="DN49" s="292"/>
      <c r="DO49" s="292"/>
      <c r="DP49" s="292"/>
      <c r="DQ49" s="292"/>
      <c r="DR49" s="292"/>
      <c r="DS49" s="292"/>
      <c r="DT49" s="292"/>
      <c r="DU49" s="292"/>
      <c r="DV49" s="292"/>
      <c r="DW49" s="292"/>
      <c r="DX49" s="292"/>
      <c r="DY49" s="292"/>
      <c r="DZ49" s="292"/>
      <c r="EA49" s="292"/>
      <c r="EB49" s="292"/>
      <c r="EC49" s="292"/>
      <c r="ED49" s="292"/>
      <c r="EE49" s="292"/>
      <c r="EF49" s="292"/>
      <c r="EG49" s="292"/>
      <c r="EH49" s="292"/>
      <c r="EI49" s="292"/>
      <c r="EJ49" s="292"/>
      <c r="EK49" s="292"/>
      <c r="EL49" s="292"/>
      <c r="EM49" s="292"/>
      <c r="EN49" s="292"/>
      <c r="EO49" s="292"/>
      <c r="EP49" s="292"/>
      <c r="EQ49" s="292"/>
      <c r="ER49" s="292"/>
      <c r="ES49" s="292"/>
      <c r="ET49" s="292"/>
      <c r="EU49" s="292"/>
      <c r="EV49" s="292"/>
      <c r="EW49" s="292"/>
      <c r="EX49" s="292"/>
      <c r="EY49" s="292"/>
      <c r="EZ49" s="292"/>
      <c r="FA49" s="292"/>
      <c r="FB49" s="292"/>
      <c r="FC49" s="292"/>
      <c r="FD49" s="292"/>
      <c r="FE49" s="292"/>
      <c r="FF49" s="292"/>
      <c r="FG49" s="292"/>
      <c r="FH49" s="292"/>
      <c r="FI49" s="292"/>
      <c r="FJ49" s="292"/>
      <c r="FK49" s="292"/>
      <c r="FL49" s="292"/>
      <c r="FM49" s="292"/>
      <c r="FN49" s="292"/>
      <c r="FO49" s="292"/>
      <c r="FP49" s="292"/>
      <c r="FQ49" s="292"/>
      <c r="FR49" s="292"/>
      <c r="FS49" s="292"/>
      <c r="FT49" s="292"/>
      <c r="FU49" s="292"/>
      <c r="FV49" s="292"/>
      <c r="FW49" s="292"/>
      <c r="FX49" s="292"/>
      <c r="FY49" s="292"/>
      <c r="FZ49" s="292"/>
      <c r="GA49" s="292"/>
      <c r="GB49" s="292"/>
      <c r="GC49" s="292"/>
      <c r="GD49" s="292"/>
      <c r="GE49" s="292"/>
      <c r="GF49" s="292"/>
      <c r="GG49" s="292"/>
      <c r="GH49" s="292"/>
      <c r="GI49" s="292"/>
      <c r="GJ49" s="292"/>
      <c r="GK49" s="292"/>
      <c r="GL49" s="292"/>
      <c r="GM49" s="292"/>
      <c r="GN49" s="292"/>
      <c r="GO49" s="292"/>
      <c r="GP49" s="292"/>
      <c r="GQ49" s="292"/>
      <c r="GR49" s="292"/>
      <c r="GS49" s="292"/>
      <c r="GT49" s="292"/>
      <c r="GU49" s="292"/>
      <c r="GV49" s="292"/>
      <c r="GW49" s="292"/>
      <c r="GX49" s="292"/>
      <c r="GY49" s="292"/>
      <c r="GZ49" s="292"/>
      <c r="HA49" s="292"/>
      <c r="HB49" s="292"/>
      <c r="HC49" s="292"/>
      <c r="HD49" s="292"/>
      <c r="HE49" s="292"/>
      <c r="HF49" s="292"/>
      <c r="HG49" s="292"/>
      <c r="HH49" s="292"/>
      <c r="HI49" s="292"/>
      <c r="HJ49" s="292"/>
      <c r="HK49" s="292"/>
      <c r="HL49" s="292"/>
      <c r="HM49" s="292"/>
      <c r="HN49" s="292"/>
      <c r="HO49" s="292"/>
      <c r="HP49" s="292"/>
      <c r="HQ49" s="292"/>
      <c r="HR49" s="292"/>
      <c r="HS49" s="292"/>
      <c r="HT49" s="292"/>
      <c r="HU49" s="292"/>
      <c r="HV49" s="292"/>
      <c r="HW49" s="292"/>
    </row>
    <row r="50" spans="1:231" ht="12" customHeight="1">
      <c r="A50" s="327"/>
      <c r="B50" s="327"/>
      <c r="C50" s="327"/>
      <c r="D50" s="327"/>
      <c r="E50" s="327"/>
      <c r="F50" s="327"/>
      <c r="G50" s="327"/>
      <c r="H50" s="290"/>
      <c r="I50" s="290"/>
      <c r="J50" s="288"/>
      <c r="K50" s="921"/>
      <c r="P50" s="922"/>
      <c r="Q50" s="922"/>
      <c r="R50" s="922"/>
      <c r="S50" s="922"/>
      <c r="T50" s="922"/>
      <c r="U50" s="291"/>
      <c r="V50" s="291"/>
      <c r="W50" s="291"/>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c r="DJ50" s="292"/>
      <c r="DK50" s="292"/>
      <c r="DL50" s="292"/>
      <c r="DM50" s="292"/>
      <c r="DN50" s="292"/>
      <c r="DO50" s="292"/>
      <c r="DP50" s="292"/>
      <c r="DQ50" s="292"/>
      <c r="DR50" s="292"/>
      <c r="DS50" s="292"/>
      <c r="DT50" s="292"/>
      <c r="DU50" s="292"/>
      <c r="DV50" s="292"/>
      <c r="DW50" s="292"/>
      <c r="DX50" s="292"/>
      <c r="DY50" s="292"/>
      <c r="DZ50" s="292"/>
      <c r="EA50" s="292"/>
      <c r="EB50" s="292"/>
      <c r="EC50" s="292"/>
      <c r="ED50" s="292"/>
      <c r="EE50" s="292"/>
      <c r="EF50" s="292"/>
      <c r="EG50" s="292"/>
      <c r="EH50" s="292"/>
      <c r="EI50" s="292"/>
      <c r="EJ50" s="292"/>
      <c r="EK50" s="292"/>
      <c r="EL50" s="292"/>
      <c r="EM50" s="292"/>
      <c r="EN50" s="292"/>
      <c r="EO50" s="292"/>
      <c r="EP50" s="292"/>
      <c r="EQ50" s="292"/>
      <c r="ER50" s="292"/>
      <c r="ES50" s="292"/>
      <c r="ET50" s="292"/>
      <c r="EU50" s="292"/>
      <c r="EV50" s="292"/>
      <c r="EW50" s="292"/>
      <c r="EX50" s="292"/>
      <c r="EY50" s="292"/>
      <c r="EZ50" s="292"/>
      <c r="FA50" s="292"/>
      <c r="FB50" s="292"/>
      <c r="FC50" s="292"/>
      <c r="FD50" s="292"/>
      <c r="FE50" s="292"/>
      <c r="FF50" s="292"/>
      <c r="FG50" s="292"/>
      <c r="FH50" s="292"/>
      <c r="FI50" s="292"/>
      <c r="FJ50" s="292"/>
      <c r="FK50" s="292"/>
      <c r="FL50" s="292"/>
      <c r="FM50" s="292"/>
      <c r="FN50" s="292"/>
      <c r="FO50" s="292"/>
      <c r="FP50" s="292"/>
      <c r="FQ50" s="292"/>
      <c r="FR50" s="292"/>
      <c r="FS50" s="292"/>
      <c r="FT50" s="292"/>
      <c r="FU50" s="292"/>
      <c r="FV50" s="292"/>
      <c r="FW50" s="292"/>
      <c r="FX50" s="292"/>
      <c r="FY50" s="292"/>
      <c r="FZ50" s="292"/>
      <c r="GA50" s="292"/>
      <c r="GB50" s="292"/>
      <c r="GC50" s="292"/>
      <c r="GD50" s="292"/>
      <c r="GE50" s="292"/>
      <c r="GF50" s="292"/>
      <c r="GG50" s="292"/>
      <c r="GH50" s="292"/>
      <c r="GI50" s="292"/>
      <c r="GJ50" s="292"/>
      <c r="GK50" s="292"/>
      <c r="GL50" s="292"/>
      <c r="GM50" s="292"/>
      <c r="GN50" s="292"/>
      <c r="GO50" s="292"/>
      <c r="GP50" s="292"/>
      <c r="GQ50" s="292"/>
      <c r="GR50" s="292"/>
      <c r="GS50" s="292"/>
      <c r="GT50" s="292"/>
      <c r="GU50" s="292"/>
      <c r="GV50" s="292"/>
      <c r="GW50" s="292"/>
      <c r="GX50" s="292"/>
      <c r="GY50" s="292"/>
      <c r="GZ50" s="292"/>
      <c r="HA50" s="292"/>
      <c r="HB50" s="292"/>
      <c r="HC50" s="292"/>
      <c r="HD50" s="292"/>
      <c r="HE50" s="292"/>
      <c r="HF50" s="292"/>
      <c r="HG50" s="292"/>
      <c r="HH50" s="292"/>
      <c r="HI50" s="292"/>
      <c r="HJ50" s="292"/>
      <c r="HK50" s="292"/>
      <c r="HL50" s="292"/>
      <c r="HM50" s="292"/>
      <c r="HN50" s="292"/>
      <c r="HO50" s="292"/>
      <c r="HP50" s="292"/>
      <c r="HQ50" s="292"/>
      <c r="HR50" s="292"/>
      <c r="HS50" s="292"/>
      <c r="HT50" s="292"/>
      <c r="HU50" s="292"/>
      <c r="HV50" s="292"/>
      <c r="HW50" s="292"/>
    </row>
    <row r="51" spans="1:231" ht="12" customHeight="1">
      <c r="B51" s="311"/>
      <c r="C51" s="311"/>
      <c r="E51" s="329"/>
      <c r="F51" s="327"/>
      <c r="G51" s="327"/>
      <c r="H51" s="290"/>
      <c r="I51" s="290"/>
      <c r="J51" s="288"/>
      <c r="K51" s="921"/>
      <c r="P51" s="922"/>
      <c r="Q51" s="922"/>
      <c r="R51" s="922"/>
      <c r="S51" s="922"/>
      <c r="T51" s="922"/>
      <c r="U51" s="291"/>
      <c r="V51" s="291"/>
      <c r="W51" s="291"/>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2"/>
      <c r="BR51" s="292"/>
      <c r="BS51" s="292"/>
      <c r="BT51" s="292"/>
      <c r="BU51" s="292"/>
      <c r="BV51" s="292"/>
      <c r="BW51" s="292"/>
      <c r="BX51" s="292"/>
      <c r="BY51" s="292"/>
      <c r="BZ51" s="292"/>
      <c r="CA51" s="292"/>
      <c r="CB51" s="292"/>
      <c r="CC51" s="292"/>
      <c r="CD51" s="292"/>
      <c r="CE51" s="292"/>
      <c r="CF51" s="292"/>
      <c r="CG51" s="292"/>
      <c r="CH51" s="292"/>
      <c r="CI51" s="292"/>
      <c r="CJ51" s="292"/>
      <c r="CK51" s="292"/>
      <c r="CL51" s="292"/>
      <c r="CM51" s="292"/>
      <c r="CN51" s="292"/>
      <c r="CO51" s="292"/>
      <c r="CP51" s="292"/>
      <c r="CQ51" s="292"/>
      <c r="CR51" s="292"/>
      <c r="CS51" s="292"/>
      <c r="CT51" s="292"/>
      <c r="CU51" s="292"/>
      <c r="CV51" s="292"/>
      <c r="CW51" s="292"/>
      <c r="CX51" s="292"/>
      <c r="CY51" s="292"/>
      <c r="CZ51" s="292"/>
      <c r="DA51" s="292"/>
      <c r="DB51" s="292"/>
      <c r="DC51" s="292"/>
      <c r="DD51" s="292"/>
      <c r="DE51" s="292"/>
      <c r="DF51" s="292"/>
      <c r="DG51" s="292"/>
      <c r="DH51" s="292"/>
      <c r="DI51" s="292"/>
      <c r="DJ51" s="292"/>
      <c r="DK51" s="292"/>
      <c r="DL51" s="292"/>
      <c r="DM51" s="292"/>
      <c r="DN51" s="292"/>
      <c r="DO51" s="292"/>
      <c r="DP51" s="292"/>
      <c r="DQ51" s="292"/>
      <c r="DR51" s="292"/>
      <c r="DS51" s="292"/>
      <c r="DT51" s="292"/>
      <c r="DU51" s="292"/>
      <c r="DV51" s="292"/>
      <c r="DW51" s="292"/>
      <c r="DX51" s="292"/>
      <c r="DY51" s="292"/>
      <c r="DZ51" s="292"/>
      <c r="EA51" s="292"/>
      <c r="EB51" s="292"/>
      <c r="EC51" s="292"/>
      <c r="ED51" s="292"/>
      <c r="EE51" s="292"/>
      <c r="EF51" s="292"/>
      <c r="EG51" s="292"/>
      <c r="EH51" s="292"/>
      <c r="EI51" s="292"/>
      <c r="EJ51" s="292"/>
      <c r="EK51" s="292"/>
      <c r="EL51" s="292"/>
      <c r="EM51" s="292"/>
      <c r="EN51" s="292"/>
      <c r="EO51" s="292"/>
      <c r="EP51" s="292"/>
      <c r="EQ51" s="292"/>
      <c r="ER51" s="292"/>
      <c r="ES51" s="292"/>
      <c r="ET51" s="292"/>
      <c r="EU51" s="292"/>
      <c r="EV51" s="292"/>
      <c r="EW51" s="292"/>
      <c r="EX51" s="292"/>
      <c r="EY51" s="292"/>
      <c r="EZ51" s="292"/>
      <c r="FA51" s="292"/>
      <c r="FB51" s="292"/>
      <c r="FC51" s="292"/>
      <c r="FD51" s="292"/>
      <c r="FE51" s="292"/>
      <c r="FF51" s="292"/>
      <c r="FG51" s="292"/>
      <c r="FH51" s="292"/>
      <c r="FI51" s="292"/>
      <c r="FJ51" s="292"/>
      <c r="FK51" s="292"/>
      <c r="FL51" s="292"/>
      <c r="FM51" s="292"/>
      <c r="FN51" s="292"/>
      <c r="FO51" s="292"/>
      <c r="FP51" s="292"/>
      <c r="FQ51" s="292"/>
      <c r="FR51" s="292"/>
      <c r="FS51" s="292"/>
      <c r="FT51" s="292"/>
      <c r="FU51" s="292"/>
      <c r="FV51" s="292"/>
      <c r="FW51" s="292"/>
      <c r="FX51" s="292"/>
      <c r="FY51" s="292"/>
      <c r="FZ51" s="292"/>
      <c r="GA51" s="292"/>
      <c r="GB51" s="292"/>
      <c r="GC51" s="292"/>
      <c r="GD51" s="292"/>
      <c r="GE51" s="292"/>
      <c r="GF51" s="292"/>
      <c r="GG51" s="292"/>
      <c r="GH51" s="292"/>
      <c r="GI51" s="292"/>
      <c r="GJ51" s="292"/>
      <c r="GK51" s="292"/>
      <c r="GL51" s="292"/>
      <c r="GM51" s="292"/>
      <c r="GN51" s="292"/>
      <c r="GO51" s="292"/>
      <c r="GP51" s="292"/>
      <c r="GQ51" s="292"/>
      <c r="GR51" s="292"/>
      <c r="GS51" s="292"/>
      <c r="GT51" s="292"/>
      <c r="GU51" s="292"/>
      <c r="GV51" s="292"/>
      <c r="GW51" s="292"/>
      <c r="GX51" s="292"/>
      <c r="GY51" s="292"/>
      <c r="GZ51" s="292"/>
      <c r="HA51" s="292"/>
      <c r="HB51" s="292"/>
      <c r="HC51" s="292"/>
      <c r="HD51" s="292"/>
      <c r="HE51" s="292"/>
      <c r="HF51" s="292"/>
      <c r="HG51" s="292"/>
      <c r="HH51" s="292"/>
      <c r="HI51" s="292"/>
      <c r="HJ51" s="292"/>
      <c r="HK51" s="292"/>
      <c r="HL51" s="292"/>
      <c r="HM51" s="292"/>
      <c r="HN51" s="292"/>
      <c r="HO51" s="292"/>
      <c r="HP51" s="292"/>
      <c r="HQ51" s="292"/>
      <c r="HR51" s="292"/>
      <c r="HS51" s="292"/>
      <c r="HT51" s="292"/>
      <c r="HU51" s="292"/>
      <c r="HV51" s="292"/>
      <c r="HW51" s="292"/>
    </row>
    <row r="52" spans="1:231" ht="14.1" customHeight="1">
      <c r="B52" s="311"/>
      <c r="C52" s="200"/>
      <c r="E52" s="329"/>
      <c r="F52" s="330"/>
      <c r="G52" s="330"/>
      <c r="H52" s="330"/>
      <c r="I52" s="330"/>
      <c r="J52" s="330"/>
      <c r="K52" s="926"/>
      <c r="P52" s="922"/>
      <c r="Q52" s="922"/>
      <c r="R52" s="922"/>
      <c r="S52" s="922"/>
      <c r="T52" s="922"/>
      <c r="U52" s="291"/>
      <c r="V52" s="291"/>
      <c r="W52" s="291"/>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2"/>
      <c r="BR52" s="292"/>
      <c r="BS52" s="292"/>
      <c r="BT52" s="292"/>
      <c r="BU52" s="292"/>
      <c r="BV52" s="292"/>
      <c r="BW52" s="292"/>
      <c r="BX52" s="292"/>
      <c r="BY52" s="292"/>
      <c r="BZ52" s="292"/>
      <c r="CA52" s="292"/>
      <c r="CB52" s="292"/>
      <c r="CC52" s="292"/>
      <c r="CD52" s="292"/>
      <c r="CE52" s="292"/>
      <c r="CF52" s="292"/>
      <c r="CG52" s="292"/>
      <c r="CH52" s="292"/>
      <c r="CI52" s="292"/>
      <c r="CJ52" s="292"/>
      <c r="CK52" s="292"/>
      <c r="CL52" s="292"/>
      <c r="CM52" s="292"/>
      <c r="CN52" s="292"/>
      <c r="CO52" s="292"/>
      <c r="CP52" s="292"/>
      <c r="CQ52" s="292"/>
      <c r="CR52" s="292"/>
      <c r="CS52" s="292"/>
      <c r="CT52" s="292"/>
      <c r="CU52" s="292"/>
      <c r="CV52" s="292"/>
      <c r="CW52" s="292"/>
      <c r="CX52" s="292"/>
      <c r="CY52" s="292"/>
      <c r="CZ52" s="292"/>
      <c r="DA52" s="292"/>
      <c r="DB52" s="292"/>
      <c r="DC52" s="292"/>
      <c r="DD52" s="292"/>
      <c r="DE52" s="292"/>
      <c r="DF52" s="292"/>
      <c r="DG52" s="292"/>
      <c r="DH52" s="292"/>
      <c r="DI52" s="292"/>
      <c r="DJ52" s="292"/>
      <c r="DK52" s="292"/>
      <c r="DL52" s="292"/>
      <c r="DM52" s="292"/>
      <c r="DN52" s="292"/>
      <c r="DO52" s="292"/>
      <c r="DP52" s="292"/>
      <c r="DQ52" s="292"/>
      <c r="DR52" s="292"/>
      <c r="DS52" s="292"/>
      <c r="DT52" s="292"/>
      <c r="DU52" s="292"/>
      <c r="DV52" s="292"/>
      <c r="DW52" s="292"/>
      <c r="DX52" s="292"/>
      <c r="DY52" s="292"/>
      <c r="DZ52" s="292"/>
      <c r="EA52" s="292"/>
      <c r="EB52" s="292"/>
      <c r="EC52" s="292"/>
      <c r="ED52" s="292"/>
      <c r="EE52" s="292"/>
      <c r="EF52" s="292"/>
      <c r="EG52" s="292"/>
      <c r="EH52" s="292"/>
      <c r="EI52" s="292"/>
      <c r="EJ52" s="292"/>
      <c r="EK52" s="292"/>
      <c r="EL52" s="292"/>
      <c r="EM52" s="292"/>
      <c r="EN52" s="292"/>
      <c r="EO52" s="292"/>
      <c r="EP52" s="292"/>
      <c r="EQ52" s="292"/>
      <c r="ER52" s="292"/>
      <c r="ES52" s="292"/>
      <c r="ET52" s="292"/>
      <c r="EU52" s="292"/>
      <c r="EV52" s="292"/>
      <c r="EW52" s="292"/>
      <c r="EX52" s="292"/>
      <c r="EY52" s="292"/>
      <c r="EZ52" s="292"/>
      <c r="FA52" s="292"/>
      <c r="FB52" s="292"/>
      <c r="FC52" s="292"/>
      <c r="FD52" s="292"/>
      <c r="FE52" s="292"/>
      <c r="FF52" s="292"/>
      <c r="FG52" s="292"/>
      <c r="FH52" s="292"/>
      <c r="FI52" s="292"/>
      <c r="FJ52" s="292"/>
      <c r="FK52" s="292"/>
      <c r="FL52" s="292"/>
      <c r="FM52" s="292"/>
      <c r="FN52" s="292"/>
      <c r="FO52" s="292"/>
      <c r="FP52" s="292"/>
      <c r="FQ52" s="292"/>
      <c r="FR52" s="292"/>
      <c r="FS52" s="292"/>
      <c r="FT52" s="292"/>
      <c r="FU52" s="292"/>
      <c r="FV52" s="292"/>
      <c r="FW52" s="292"/>
      <c r="FX52" s="292"/>
      <c r="FY52" s="292"/>
      <c r="FZ52" s="292"/>
      <c r="GA52" s="292"/>
      <c r="GB52" s="292"/>
      <c r="GC52" s="292"/>
      <c r="GD52" s="292"/>
      <c r="GE52" s="292"/>
      <c r="GF52" s="292"/>
      <c r="GG52" s="292"/>
      <c r="GH52" s="292"/>
      <c r="GI52" s="292"/>
      <c r="GJ52" s="292"/>
      <c r="GK52" s="292"/>
      <c r="GL52" s="292"/>
      <c r="GM52" s="292"/>
      <c r="GN52" s="292"/>
      <c r="GO52" s="292"/>
      <c r="GP52" s="292"/>
      <c r="GQ52" s="292"/>
      <c r="GR52" s="292"/>
      <c r="GS52" s="292"/>
      <c r="GT52" s="292"/>
      <c r="GU52" s="292"/>
      <c r="GV52" s="292"/>
      <c r="GW52" s="292"/>
      <c r="GX52" s="292"/>
      <c r="GY52" s="292"/>
      <c r="GZ52" s="292"/>
      <c r="HA52" s="292"/>
      <c r="HB52" s="292"/>
      <c r="HC52" s="292"/>
      <c r="HD52" s="292"/>
      <c r="HE52" s="292"/>
      <c r="HF52" s="292"/>
      <c r="HG52" s="292"/>
      <c r="HH52" s="292"/>
      <c r="HI52" s="292"/>
      <c r="HJ52" s="292"/>
      <c r="HK52" s="292"/>
      <c r="HL52" s="292"/>
      <c r="HM52" s="292"/>
      <c r="HN52" s="292"/>
      <c r="HO52" s="292"/>
      <c r="HP52" s="292"/>
      <c r="HQ52" s="292"/>
      <c r="HR52" s="292"/>
      <c r="HS52" s="292"/>
      <c r="HT52" s="292"/>
      <c r="HU52" s="292"/>
      <c r="HV52" s="292"/>
      <c r="HW52" s="292"/>
    </row>
    <row r="53" spans="1:231" ht="14.1" customHeight="1">
      <c r="A53" s="292"/>
      <c r="B53" s="311"/>
      <c r="C53" s="311"/>
      <c r="E53" s="329"/>
      <c r="F53" s="292"/>
      <c r="G53" s="292"/>
      <c r="H53" s="292"/>
      <c r="I53" s="292"/>
      <c r="K53" s="926"/>
      <c r="P53" s="922"/>
      <c r="Q53" s="922"/>
      <c r="R53" s="922"/>
      <c r="S53" s="922"/>
      <c r="T53" s="922"/>
      <c r="U53" s="291"/>
      <c r="V53" s="291"/>
      <c r="W53" s="291"/>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c r="BV53" s="292"/>
      <c r="BW53" s="292"/>
      <c r="BX53" s="292"/>
      <c r="BY53" s="292"/>
      <c r="BZ53" s="292"/>
      <c r="CA53" s="292"/>
      <c r="CB53" s="292"/>
      <c r="CC53" s="292"/>
      <c r="CD53" s="292"/>
      <c r="CE53" s="292"/>
      <c r="CF53" s="292"/>
      <c r="CG53" s="292"/>
      <c r="CH53" s="292"/>
      <c r="CI53" s="292"/>
      <c r="CJ53" s="292"/>
      <c r="CK53" s="292"/>
      <c r="CL53" s="292"/>
      <c r="CM53" s="292"/>
      <c r="CN53" s="292"/>
      <c r="CO53" s="292"/>
      <c r="CP53" s="292"/>
      <c r="CQ53" s="292"/>
      <c r="CR53" s="292"/>
      <c r="CS53" s="292"/>
      <c r="CT53" s="292"/>
      <c r="CU53" s="292"/>
      <c r="CV53" s="292"/>
      <c r="CW53" s="292"/>
      <c r="CX53" s="292"/>
      <c r="CY53" s="292"/>
      <c r="CZ53" s="292"/>
      <c r="DA53" s="292"/>
      <c r="DB53" s="292"/>
      <c r="DC53" s="292"/>
      <c r="DD53" s="292"/>
      <c r="DE53" s="292"/>
      <c r="DF53" s="292"/>
      <c r="DG53" s="292"/>
      <c r="DH53" s="292"/>
      <c r="DI53" s="292"/>
      <c r="DJ53" s="292"/>
      <c r="DK53" s="292"/>
      <c r="DL53" s="292"/>
      <c r="DM53" s="292"/>
      <c r="DN53" s="292"/>
      <c r="DO53" s="292"/>
      <c r="DP53" s="292"/>
      <c r="DQ53" s="292"/>
      <c r="DR53" s="292"/>
      <c r="DS53" s="292"/>
      <c r="DT53" s="292"/>
      <c r="DU53" s="292"/>
      <c r="DV53" s="292"/>
      <c r="DW53" s="292"/>
      <c r="DX53" s="292"/>
      <c r="DY53" s="292"/>
      <c r="DZ53" s="292"/>
      <c r="EA53" s="292"/>
      <c r="EB53" s="292"/>
      <c r="EC53" s="292"/>
      <c r="ED53" s="292"/>
      <c r="EE53" s="292"/>
      <c r="EF53" s="292"/>
      <c r="EG53" s="292"/>
      <c r="EH53" s="292"/>
      <c r="EI53" s="292"/>
      <c r="EJ53" s="292"/>
      <c r="EK53" s="292"/>
      <c r="EL53" s="292"/>
      <c r="EM53" s="292"/>
      <c r="EN53" s="292"/>
      <c r="EO53" s="292"/>
      <c r="EP53" s="292"/>
      <c r="EQ53" s="292"/>
      <c r="ER53" s="292"/>
      <c r="ES53" s="292"/>
      <c r="ET53" s="292"/>
      <c r="EU53" s="292"/>
      <c r="EV53" s="292"/>
      <c r="EW53" s="292"/>
      <c r="EX53" s="292"/>
      <c r="EY53" s="292"/>
      <c r="EZ53" s="292"/>
      <c r="FA53" s="292"/>
      <c r="FB53" s="292"/>
      <c r="FC53" s="292"/>
      <c r="FD53" s="292"/>
      <c r="FE53" s="292"/>
      <c r="FF53" s="292"/>
      <c r="FG53" s="292"/>
      <c r="FH53" s="292"/>
      <c r="FI53" s="292"/>
      <c r="FJ53" s="292"/>
      <c r="FK53" s="292"/>
      <c r="FL53" s="292"/>
      <c r="FM53" s="292"/>
      <c r="FN53" s="292"/>
      <c r="FO53" s="292"/>
      <c r="FP53" s="292"/>
      <c r="FQ53" s="292"/>
      <c r="FR53" s="292"/>
      <c r="FS53" s="292"/>
      <c r="FT53" s="292"/>
      <c r="FU53" s="292"/>
      <c r="FV53" s="292"/>
      <c r="FW53" s="292"/>
      <c r="FX53" s="292"/>
      <c r="FY53" s="292"/>
      <c r="FZ53" s="292"/>
      <c r="GA53" s="292"/>
      <c r="GB53" s="292"/>
      <c r="GC53" s="292"/>
      <c r="GD53" s="292"/>
      <c r="GE53" s="292"/>
      <c r="GF53" s="292"/>
      <c r="GG53" s="292"/>
      <c r="GH53" s="292"/>
      <c r="GI53" s="292"/>
      <c r="GJ53" s="292"/>
      <c r="GK53" s="292"/>
      <c r="GL53" s="292"/>
      <c r="GM53" s="292"/>
      <c r="GN53" s="292"/>
      <c r="GO53" s="292"/>
      <c r="GP53" s="292"/>
      <c r="GQ53" s="292"/>
      <c r="GR53" s="292"/>
      <c r="GS53" s="292"/>
      <c r="GT53" s="292"/>
      <c r="GU53" s="292"/>
      <c r="GV53" s="292"/>
      <c r="GW53" s="292"/>
      <c r="GX53" s="292"/>
      <c r="GY53" s="292"/>
      <c r="GZ53" s="292"/>
      <c r="HA53" s="292"/>
      <c r="HB53" s="292"/>
      <c r="HC53" s="292"/>
      <c r="HD53" s="292"/>
      <c r="HE53" s="292"/>
      <c r="HF53" s="292"/>
      <c r="HG53" s="292"/>
      <c r="HH53" s="292"/>
      <c r="HI53" s="292"/>
      <c r="HJ53" s="292"/>
      <c r="HK53" s="292"/>
      <c r="HL53" s="292"/>
      <c r="HM53" s="292"/>
      <c r="HN53" s="292"/>
      <c r="HO53" s="292"/>
      <c r="HP53" s="292"/>
      <c r="HQ53" s="292"/>
      <c r="HR53" s="292"/>
      <c r="HS53" s="292"/>
      <c r="HT53" s="292"/>
      <c r="HU53" s="292"/>
      <c r="HV53" s="292"/>
      <c r="HW53" s="292"/>
    </row>
    <row r="54" spans="1:231" ht="14.1" customHeight="1">
      <c r="A54" s="292"/>
      <c r="B54" s="311"/>
      <c r="C54" s="311"/>
      <c r="E54" s="329"/>
      <c r="F54" s="292"/>
      <c r="G54" s="292"/>
      <c r="H54" s="292"/>
      <c r="I54" s="292"/>
      <c r="K54" s="926"/>
      <c r="P54" s="922"/>
      <c r="Q54" s="922"/>
      <c r="R54" s="922"/>
      <c r="S54" s="922"/>
      <c r="T54" s="922"/>
      <c r="U54" s="291"/>
      <c r="V54" s="291"/>
      <c r="W54" s="291"/>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292"/>
      <c r="CW54" s="292"/>
      <c r="CX54" s="292"/>
      <c r="CY54" s="292"/>
      <c r="CZ54" s="292"/>
      <c r="DA54" s="292"/>
      <c r="DB54" s="292"/>
      <c r="DC54" s="292"/>
      <c r="DD54" s="292"/>
      <c r="DE54" s="292"/>
      <c r="DF54" s="292"/>
      <c r="DG54" s="292"/>
      <c r="DH54" s="292"/>
      <c r="DI54" s="292"/>
      <c r="DJ54" s="292"/>
      <c r="DK54" s="292"/>
      <c r="DL54" s="292"/>
      <c r="DM54" s="292"/>
      <c r="DN54" s="292"/>
      <c r="DO54" s="292"/>
      <c r="DP54" s="292"/>
      <c r="DQ54" s="292"/>
      <c r="DR54" s="292"/>
      <c r="DS54" s="292"/>
      <c r="DT54" s="292"/>
      <c r="DU54" s="292"/>
      <c r="DV54" s="292"/>
      <c r="DW54" s="292"/>
      <c r="DX54" s="292"/>
      <c r="DY54" s="292"/>
      <c r="DZ54" s="292"/>
      <c r="EA54" s="292"/>
      <c r="EB54" s="292"/>
      <c r="EC54" s="292"/>
      <c r="ED54" s="292"/>
      <c r="EE54" s="292"/>
      <c r="EF54" s="292"/>
      <c r="EG54" s="292"/>
      <c r="EH54" s="292"/>
      <c r="EI54" s="292"/>
      <c r="EJ54" s="292"/>
      <c r="EK54" s="292"/>
      <c r="EL54" s="292"/>
      <c r="EM54" s="292"/>
      <c r="EN54" s="292"/>
      <c r="EO54" s="292"/>
      <c r="EP54" s="292"/>
      <c r="EQ54" s="292"/>
      <c r="ER54" s="292"/>
      <c r="ES54" s="292"/>
      <c r="ET54" s="292"/>
      <c r="EU54" s="292"/>
      <c r="EV54" s="292"/>
      <c r="EW54" s="292"/>
      <c r="EX54" s="292"/>
      <c r="EY54" s="292"/>
      <c r="EZ54" s="292"/>
      <c r="FA54" s="292"/>
      <c r="FB54" s="292"/>
      <c r="FC54" s="292"/>
      <c r="FD54" s="292"/>
      <c r="FE54" s="292"/>
      <c r="FF54" s="292"/>
      <c r="FG54" s="292"/>
      <c r="FH54" s="292"/>
      <c r="FI54" s="292"/>
      <c r="FJ54" s="292"/>
      <c r="FK54" s="292"/>
      <c r="FL54" s="292"/>
      <c r="FM54" s="292"/>
      <c r="FN54" s="292"/>
      <c r="FO54" s="292"/>
      <c r="FP54" s="292"/>
      <c r="FQ54" s="292"/>
      <c r="FR54" s="292"/>
      <c r="FS54" s="292"/>
      <c r="FT54" s="292"/>
      <c r="FU54" s="292"/>
      <c r="FV54" s="292"/>
      <c r="FW54" s="292"/>
      <c r="FX54" s="292"/>
      <c r="FY54" s="292"/>
      <c r="FZ54" s="292"/>
      <c r="GA54" s="292"/>
      <c r="GB54" s="292"/>
      <c r="GC54" s="292"/>
      <c r="GD54" s="292"/>
      <c r="GE54" s="292"/>
      <c r="GF54" s="292"/>
      <c r="GG54" s="292"/>
      <c r="GH54" s="292"/>
      <c r="GI54" s="292"/>
      <c r="GJ54" s="292"/>
      <c r="GK54" s="292"/>
      <c r="GL54" s="292"/>
      <c r="GM54" s="292"/>
      <c r="GN54" s="292"/>
      <c r="GO54" s="292"/>
      <c r="GP54" s="292"/>
      <c r="GQ54" s="292"/>
      <c r="GR54" s="292"/>
      <c r="GS54" s="292"/>
      <c r="GT54" s="292"/>
      <c r="GU54" s="292"/>
      <c r="GV54" s="292"/>
      <c r="GW54" s="292"/>
      <c r="GX54" s="292"/>
      <c r="GY54" s="292"/>
      <c r="GZ54" s="292"/>
      <c r="HA54" s="292"/>
      <c r="HB54" s="292"/>
      <c r="HC54" s="292"/>
      <c r="HD54" s="292"/>
      <c r="HE54" s="292"/>
      <c r="HF54" s="292"/>
      <c r="HG54" s="292"/>
      <c r="HH54" s="292"/>
      <c r="HI54" s="292"/>
      <c r="HJ54" s="292"/>
      <c r="HK54" s="292"/>
      <c r="HL54" s="292"/>
      <c r="HM54" s="292"/>
      <c r="HN54" s="292"/>
      <c r="HO54" s="292"/>
      <c r="HP54" s="292"/>
      <c r="HQ54" s="292"/>
      <c r="HR54" s="292"/>
      <c r="HS54" s="292"/>
      <c r="HT54" s="292"/>
      <c r="HU54" s="292"/>
      <c r="HV54" s="292"/>
      <c r="HW54" s="292"/>
    </row>
    <row r="55" spans="1:231" ht="14.1" customHeight="1">
      <c r="A55" s="292"/>
      <c r="B55" s="311"/>
      <c r="C55" s="311"/>
      <c r="E55" s="329"/>
      <c r="F55" s="292"/>
      <c r="G55" s="292"/>
      <c r="H55" s="292"/>
      <c r="I55" s="292"/>
      <c r="K55" s="926"/>
      <c r="L55" s="922"/>
      <c r="M55" s="922"/>
      <c r="N55" s="922"/>
      <c r="O55" s="922"/>
      <c r="P55" s="922"/>
      <c r="Q55" s="922"/>
      <c r="R55" s="922"/>
      <c r="S55" s="922"/>
      <c r="T55" s="922"/>
      <c r="U55" s="291"/>
      <c r="V55" s="291"/>
      <c r="W55" s="291"/>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c r="BW55" s="292"/>
      <c r="BX55" s="292"/>
      <c r="BY55" s="292"/>
      <c r="BZ55" s="292"/>
      <c r="CA55" s="292"/>
      <c r="CB55" s="292"/>
      <c r="CC55" s="292"/>
      <c r="CD55" s="292"/>
      <c r="CE55" s="292"/>
      <c r="CF55" s="292"/>
      <c r="CG55" s="292"/>
      <c r="CH55" s="292"/>
      <c r="CI55" s="292"/>
      <c r="CJ55" s="292"/>
      <c r="CK55" s="292"/>
      <c r="CL55" s="292"/>
      <c r="CM55" s="292"/>
      <c r="CN55" s="292"/>
      <c r="CO55" s="292"/>
      <c r="CP55" s="292"/>
      <c r="CQ55" s="292"/>
      <c r="CR55" s="292"/>
      <c r="CS55" s="292"/>
      <c r="CT55" s="292"/>
      <c r="CU55" s="292"/>
      <c r="CV55" s="292"/>
      <c r="CW55" s="292"/>
      <c r="CX55" s="292"/>
      <c r="CY55" s="292"/>
      <c r="CZ55" s="292"/>
      <c r="DA55" s="292"/>
      <c r="DB55" s="292"/>
      <c r="DC55" s="292"/>
      <c r="DD55" s="292"/>
      <c r="DE55" s="292"/>
      <c r="DF55" s="292"/>
      <c r="DG55" s="292"/>
      <c r="DH55" s="292"/>
      <c r="DI55" s="292"/>
      <c r="DJ55" s="292"/>
      <c r="DK55" s="292"/>
      <c r="DL55" s="292"/>
      <c r="DM55" s="292"/>
      <c r="DN55" s="292"/>
      <c r="DO55" s="292"/>
      <c r="DP55" s="292"/>
      <c r="DQ55" s="292"/>
      <c r="DR55" s="292"/>
      <c r="DS55" s="292"/>
      <c r="DT55" s="292"/>
      <c r="DU55" s="292"/>
      <c r="DV55" s="292"/>
      <c r="DW55" s="292"/>
      <c r="DX55" s="292"/>
      <c r="DY55" s="292"/>
      <c r="DZ55" s="292"/>
      <c r="EA55" s="292"/>
      <c r="EB55" s="292"/>
      <c r="EC55" s="292"/>
      <c r="ED55" s="292"/>
      <c r="EE55" s="292"/>
      <c r="EF55" s="292"/>
      <c r="EG55" s="292"/>
      <c r="EH55" s="292"/>
      <c r="EI55" s="292"/>
      <c r="EJ55" s="292"/>
      <c r="EK55" s="292"/>
      <c r="EL55" s="292"/>
      <c r="EM55" s="292"/>
      <c r="EN55" s="292"/>
      <c r="EO55" s="292"/>
      <c r="EP55" s="292"/>
      <c r="EQ55" s="292"/>
      <c r="ER55" s="292"/>
      <c r="ES55" s="292"/>
      <c r="ET55" s="292"/>
      <c r="EU55" s="292"/>
      <c r="EV55" s="292"/>
      <c r="EW55" s="292"/>
      <c r="EX55" s="292"/>
      <c r="EY55" s="292"/>
      <c r="EZ55" s="292"/>
      <c r="FA55" s="292"/>
      <c r="FB55" s="292"/>
      <c r="FC55" s="292"/>
      <c r="FD55" s="292"/>
      <c r="FE55" s="292"/>
      <c r="FF55" s="292"/>
      <c r="FG55" s="292"/>
      <c r="FH55" s="292"/>
      <c r="FI55" s="292"/>
      <c r="FJ55" s="292"/>
      <c r="FK55" s="292"/>
      <c r="FL55" s="292"/>
      <c r="FM55" s="292"/>
      <c r="FN55" s="292"/>
      <c r="FO55" s="292"/>
      <c r="FP55" s="292"/>
      <c r="FQ55" s="292"/>
      <c r="FR55" s="292"/>
      <c r="FS55" s="292"/>
      <c r="FT55" s="292"/>
      <c r="FU55" s="292"/>
      <c r="FV55" s="292"/>
      <c r="FW55" s="292"/>
      <c r="FX55" s="292"/>
      <c r="FY55" s="292"/>
      <c r="FZ55" s="292"/>
      <c r="GA55" s="292"/>
      <c r="GB55" s="292"/>
      <c r="GC55" s="292"/>
      <c r="GD55" s="292"/>
      <c r="GE55" s="292"/>
      <c r="GF55" s="292"/>
      <c r="GG55" s="292"/>
      <c r="GH55" s="292"/>
      <c r="GI55" s="292"/>
      <c r="GJ55" s="292"/>
      <c r="GK55" s="292"/>
      <c r="GL55" s="292"/>
      <c r="GM55" s="292"/>
      <c r="GN55" s="292"/>
      <c r="GO55" s="292"/>
      <c r="GP55" s="292"/>
      <c r="GQ55" s="292"/>
      <c r="GR55" s="292"/>
      <c r="GS55" s="292"/>
      <c r="GT55" s="292"/>
      <c r="GU55" s="292"/>
      <c r="GV55" s="292"/>
      <c r="GW55" s="292"/>
      <c r="GX55" s="292"/>
      <c r="GY55" s="292"/>
      <c r="GZ55" s="292"/>
      <c r="HA55" s="292"/>
      <c r="HB55" s="292"/>
      <c r="HC55" s="292"/>
      <c r="HD55" s="292"/>
      <c r="HE55" s="292"/>
      <c r="HF55" s="292"/>
      <c r="HG55" s="292"/>
      <c r="HH55" s="292"/>
      <c r="HI55" s="292"/>
      <c r="HJ55" s="292"/>
      <c r="HK55" s="292"/>
      <c r="HL55" s="292"/>
      <c r="HM55" s="292"/>
      <c r="HN55" s="292"/>
      <c r="HO55" s="292"/>
      <c r="HP55" s="292"/>
      <c r="HQ55" s="292"/>
      <c r="HR55" s="292"/>
      <c r="HS55" s="292"/>
      <c r="HT55" s="292"/>
      <c r="HU55" s="292"/>
      <c r="HV55" s="292"/>
      <c r="HW55" s="292"/>
    </row>
    <row r="56" spans="1:231" ht="14.1" customHeight="1">
      <c r="A56" s="292"/>
      <c r="B56" s="311"/>
      <c r="C56" s="311"/>
      <c r="E56" s="329"/>
      <c r="F56" s="292"/>
      <c r="G56" s="292"/>
      <c r="H56" s="292"/>
      <c r="I56" s="292"/>
      <c r="K56" s="926"/>
      <c r="L56" s="922"/>
      <c r="M56" s="922"/>
      <c r="N56" s="922"/>
      <c r="O56" s="922"/>
      <c r="P56" s="922"/>
      <c r="Q56" s="922"/>
      <c r="R56" s="922"/>
      <c r="S56" s="922"/>
      <c r="T56" s="922"/>
      <c r="U56" s="291"/>
      <c r="V56" s="291"/>
      <c r="W56" s="291"/>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c r="CA56" s="292"/>
      <c r="CB56" s="292"/>
      <c r="CC56" s="292"/>
      <c r="CD56" s="292"/>
      <c r="CE56" s="292"/>
      <c r="CF56" s="292"/>
      <c r="CG56" s="292"/>
      <c r="CH56" s="292"/>
      <c r="CI56" s="292"/>
      <c r="CJ56" s="292"/>
      <c r="CK56" s="292"/>
      <c r="CL56" s="292"/>
      <c r="CM56" s="292"/>
      <c r="CN56" s="292"/>
      <c r="CO56" s="292"/>
      <c r="CP56" s="292"/>
      <c r="CQ56" s="292"/>
      <c r="CR56" s="292"/>
      <c r="CS56" s="292"/>
      <c r="CT56" s="292"/>
      <c r="CU56" s="292"/>
      <c r="CV56" s="292"/>
      <c r="CW56" s="292"/>
      <c r="CX56" s="292"/>
      <c r="CY56" s="292"/>
      <c r="CZ56" s="292"/>
      <c r="DA56" s="292"/>
      <c r="DB56" s="292"/>
      <c r="DC56" s="292"/>
      <c r="DD56" s="292"/>
      <c r="DE56" s="292"/>
      <c r="DF56" s="292"/>
      <c r="DG56" s="292"/>
      <c r="DH56" s="292"/>
      <c r="DI56" s="292"/>
      <c r="DJ56" s="292"/>
      <c r="DK56" s="292"/>
      <c r="DL56" s="292"/>
      <c r="DM56" s="292"/>
      <c r="DN56" s="292"/>
      <c r="DO56" s="292"/>
      <c r="DP56" s="292"/>
      <c r="DQ56" s="292"/>
      <c r="DR56" s="292"/>
      <c r="DS56" s="292"/>
      <c r="DT56" s="292"/>
      <c r="DU56" s="292"/>
      <c r="DV56" s="292"/>
      <c r="DW56" s="292"/>
      <c r="DX56" s="292"/>
      <c r="DY56" s="292"/>
      <c r="DZ56" s="292"/>
      <c r="EA56" s="292"/>
      <c r="EB56" s="292"/>
      <c r="EC56" s="292"/>
      <c r="ED56" s="292"/>
      <c r="EE56" s="292"/>
      <c r="EF56" s="292"/>
      <c r="EG56" s="292"/>
      <c r="EH56" s="292"/>
      <c r="EI56" s="292"/>
      <c r="EJ56" s="292"/>
      <c r="EK56" s="292"/>
      <c r="EL56" s="292"/>
      <c r="EM56" s="292"/>
      <c r="EN56" s="292"/>
      <c r="EO56" s="292"/>
      <c r="EP56" s="292"/>
      <c r="EQ56" s="292"/>
      <c r="ER56" s="292"/>
      <c r="ES56" s="292"/>
      <c r="ET56" s="292"/>
      <c r="EU56" s="292"/>
      <c r="EV56" s="292"/>
      <c r="EW56" s="292"/>
      <c r="EX56" s="292"/>
      <c r="EY56" s="292"/>
      <c r="EZ56" s="292"/>
      <c r="FA56" s="292"/>
      <c r="FB56" s="292"/>
      <c r="FC56" s="292"/>
      <c r="FD56" s="292"/>
      <c r="FE56" s="292"/>
      <c r="FF56" s="292"/>
      <c r="FG56" s="292"/>
      <c r="FH56" s="292"/>
      <c r="FI56" s="292"/>
      <c r="FJ56" s="292"/>
      <c r="FK56" s="292"/>
      <c r="FL56" s="292"/>
      <c r="FM56" s="292"/>
      <c r="FN56" s="292"/>
      <c r="FO56" s="292"/>
      <c r="FP56" s="292"/>
      <c r="FQ56" s="292"/>
      <c r="FR56" s="292"/>
      <c r="FS56" s="292"/>
      <c r="FT56" s="292"/>
      <c r="FU56" s="292"/>
      <c r="FV56" s="292"/>
      <c r="FW56" s="292"/>
      <c r="FX56" s="292"/>
      <c r="FY56" s="292"/>
      <c r="FZ56" s="292"/>
      <c r="GA56" s="292"/>
      <c r="GB56" s="292"/>
      <c r="GC56" s="292"/>
      <c r="GD56" s="292"/>
      <c r="GE56" s="292"/>
      <c r="GF56" s="292"/>
      <c r="GG56" s="292"/>
      <c r="GH56" s="292"/>
      <c r="GI56" s="292"/>
      <c r="GJ56" s="292"/>
      <c r="GK56" s="292"/>
      <c r="GL56" s="292"/>
      <c r="GM56" s="292"/>
      <c r="GN56" s="292"/>
      <c r="GO56" s="292"/>
      <c r="GP56" s="292"/>
      <c r="GQ56" s="292"/>
      <c r="GR56" s="292"/>
      <c r="GS56" s="292"/>
      <c r="GT56" s="292"/>
      <c r="GU56" s="292"/>
      <c r="GV56" s="292"/>
      <c r="GW56" s="292"/>
      <c r="GX56" s="292"/>
      <c r="GY56" s="292"/>
      <c r="GZ56" s="292"/>
      <c r="HA56" s="292"/>
      <c r="HB56" s="292"/>
      <c r="HC56" s="292"/>
      <c r="HD56" s="292"/>
      <c r="HE56" s="292"/>
      <c r="HF56" s="292"/>
      <c r="HG56" s="292"/>
      <c r="HH56" s="292"/>
      <c r="HI56" s="292"/>
      <c r="HJ56" s="292"/>
      <c r="HK56" s="292"/>
      <c r="HL56" s="292"/>
      <c r="HM56" s="292"/>
      <c r="HN56" s="292"/>
      <c r="HO56" s="292"/>
      <c r="HP56" s="292"/>
      <c r="HQ56" s="292"/>
      <c r="HR56" s="292"/>
      <c r="HS56" s="292"/>
      <c r="HT56" s="292"/>
      <c r="HU56" s="292"/>
      <c r="HV56" s="292"/>
      <c r="HW56" s="292"/>
    </row>
    <row r="57" spans="1:231" ht="14.1" customHeight="1">
      <c r="A57" s="292"/>
      <c r="B57" s="311"/>
      <c r="C57" s="311"/>
      <c r="E57" s="329"/>
      <c r="F57" s="292"/>
      <c r="G57" s="292"/>
      <c r="H57" s="292"/>
      <c r="I57" s="292"/>
      <c r="K57" s="926"/>
      <c r="L57" s="922"/>
      <c r="M57" s="922"/>
      <c r="N57" s="922"/>
      <c r="O57" s="922"/>
      <c r="P57" s="922"/>
      <c r="Q57" s="922"/>
      <c r="R57" s="922"/>
      <c r="S57" s="922"/>
      <c r="T57" s="922"/>
      <c r="U57" s="291"/>
      <c r="V57" s="291"/>
      <c r="W57" s="291"/>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92"/>
      <c r="BX57" s="292"/>
      <c r="BY57" s="292"/>
      <c r="BZ57" s="292"/>
      <c r="CA57" s="292"/>
      <c r="CB57" s="292"/>
      <c r="CC57" s="292"/>
      <c r="CD57" s="292"/>
      <c r="CE57" s="292"/>
      <c r="CF57" s="292"/>
      <c r="CG57" s="292"/>
      <c r="CH57" s="292"/>
      <c r="CI57" s="292"/>
      <c r="CJ57" s="292"/>
      <c r="CK57" s="292"/>
      <c r="CL57" s="292"/>
      <c r="CM57" s="292"/>
      <c r="CN57" s="292"/>
      <c r="CO57" s="292"/>
      <c r="CP57" s="292"/>
      <c r="CQ57" s="292"/>
      <c r="CR57" s="292"/>
      <c r="CS57" s="292"/>
      <c r="CT57" s="292"/>
      <c r="CU57" s="292"/>
      <c r="CV57" s="292"/>
      <c r="CW57" s="292"/>
      <c r="CX57" s="292"/>
      <c r="CY57" s="292"/>
      <c r="CZ57" s="292"/>
      <c r="DA57" s="292"/>
      <c r="DB57" s="292"/>
      <c r="DC57" s="292"/>
      <c r="DD57" s="292"/>
      <c r="DE57" s="292"/>
      <c r="DF57" s="292"/>
      <c r="DG57" s="292"/>
      <c r="DH57" s="292"/>
      <c r="DI57" s="292"/>
      <c r="DJ57" s="292"/>
      <c r="DK57" s="292"/>
      <c r="DL57" s="292"/>
      <c r="DM57" s="292"/>
      <c r="DN57" s="292"/>
      <c r="DO57" s="292"/>
      <c r="DP57" s="292"/>
      <c r="DQ57" s="292"/>
      <c r="DR57" s="292"/>
      <c r="DS57" s="292"/>
      <c r="DT57" s="292"/>
      <c r="DU57" s="292"/>
      <c r="DV57" s="292"/>
      <c r="DW57" s="292"/>
      <c r="DX57" s="292"/>
      <c r="DY57" s="292"/>
      <c r="DZ57" s="292"/>
      <c r="EA57" s="292"/>
      <c r="EB57" s="292"/>
      <c r="EC57" s="292"/>
      <c r="ED57" s="292"/>
      <c r="EE57" s="292"/>
      <c r="EF57" s="292"/>
      <c r="EG57" s="292"/>
      <c r="EH57" s="292"/>
      <c r="EI57" s="292"/>
      <c r="EJ57" s="292"/>
      <c r="EK57" s="292"/>
      <c r="EL57" s="292"/>
      <c r="EM57" s="292"/>
      <c r="EN57" s="292"/>
      <c r="EO57" s="292"/>
      <c r="EP57" s="292"/>
      <c r="EQ57" s="292"/>
      <c r="ER57" s="292"/>
      <c r="ES57" s="292"/>
      <c r="ET57" s="292"/>
      <c r="EU57" s="292"/>
      <c r="EV57" s="292"/>
      <c r="EW57" s="292"/>
      <c r="EX57" s="292"/>
      <c r="EY57" s="292"/>
      <c r="EZ57" s="292"/>
      <c r="FA57" s="292"/>
      <c r="FB57" s="292"/>
      <c r="FC57" s="292"/>
      <c r="FD57" s="292"/>
      <c r="FE57" s="292"/>
      <c r="FF57" s="292"/>
      <c r="FG57" s="292"/>
      <c r="FH57" s="292"/>
      <c r="FI57" s="292"/>
      <c r="FJ57" s="292"/>
      <c r="FK57" s="292"/>
      <c r="FL57" s="292"/>
      <c r="FM57" s="292"/>
      <c r="FN57" s="292"/>
      <c r="FO57" s="292"/>
      <c r="FP57" s="292"/>
      <c r="FQ57" s="292"/>
      <c r="FR57" s="292"/>
      <c r="FS57" s="292"/>
      <c r="FT57" s="292"/>
      <c r="FU57" s="292"/>
      <c r="FV57" s="292"/>
      <c r="FW57" s="292"/>
      <c r="FX57" s="292"/>
      <c r="FY57" s="292"/>
      <c r="FZ57" s="292"/>
      <c r="GA57" s="292"/>
      <c r="GB57" s="292"/>
      <c r="GC57" s="292"/>
      <c r="GD57" s="292"/>
      <c r="GE57" s="292"/>
      <c r="GF57" s="292"/>
      <c r="GG57" s="292"/>
      <c r="GH57" s="292"/>
      <c r="GI57" s="292"/>
      <c r="GJ57" s="292"/>
      <c r="GK57" s="292"/>
      <c r="GL57" s="292"/>
      <c r="GM57" s="292"/>
      <c r="GN57" s="292"/>
      <c r="GO57" s="292"/>
      <c r="GP57" s="292"/>
      <c r="GQ57" s="292"/>
      <c r="GR57" s="292"/>
      <c r="GS57" s="292"/>
      <c r="GT57" s="292"/>
      <c r="GU57" s="292"/>
      <c r="GV57" s="292"/>
      <c r="GW57" s="292"/>
      <c r="GX57" s="292"/>
      <c r="GY57" s="292"/>
      <c r="GZ57" s="292"/>
      <c r="HA57" s="292"/>
      <c r="HB57" s="292"/>
      <c r="HC57" s="292"/>
      <c r="HD57" s="292"/>
      <c r="HE57" s="292"/>
      <c r="HF57" s="292"/>
      <c r="HG57" s="292"/>
      <c r="HH57" s="292"/>
      <c r="HI57" s="292"/>
      <c r="HJ57" s="292"/>
      <c r="HK57" s="292"/>
      <c r="HL57" s="292"/>
      <c r="HM57" s="292"/>
      <c r="HN57" s="292"/>
      <c r="HO57" s="292"/>
      <c r="HP57" s="292"/>
      <c r="HQ57" s="292"/>
      <c r="HR57" s="292"/>
      <c r="HS57" s="292"/>
      <c r="HT57" s="292"/>
      <c r="HU57" s="292"/>
      <c r="HV57" s="292"/>
      <c r="HW57" s="292"/>
    </row>
    <row r="58" spans="1:231" ht="14.1" customHeight="1">
      <c r="A58" s="292"/>
      <c r="B58" s="311"/>
      <c r="C58" s="311"/>
      <c r="E58" s="329"/>
      <c r="F58" s="292"/>
      <c r="G58" s="292"/>
      <c r="H58" s="292"/>
      <c r="I58" s="292"/>
      <c r="K58" s="926"/>
      <c r="L58" s="922"/>
      <c r="M58" s="922"/>
      <c r="N58" s="922"/>
      <c r="O58" s="922"/>
      <c r="P58" s="922"/>
      <c r="Q58" s="922"/>
      <c r="R58" s="922"/>
      <c r="S58" s="922"/>
      <c r="T58" s="922"/>
      <c r="U58" s="291"/>
      <c r="V58" s="291"/>
      <c r="W58" s="291"/>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92"/>
      <c r="CE58" s="292"/>
      <c r="CF58" s="292"/>
      <c r="CG58" s="292"/>
      <c r="CH58" s="292"/>
      <c r="CI58" s="292"/>
      <c r="CJ58" s="292"/>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c r="DJ58" s="292"/>
      <c r="DK58" s="292"/>
      <c r="DL58" s="292"/>
      <c r="DM58" s="292"/>
      <c r="DN58" s="292"/>
      <c r="DO58" s="292"/>
      <c r="DP58" s="292"/>
      <c r="DQ58" s="292"/>
      <c r="DR58" s="292"/>
      <c r="DS58" s="292"/>
      <c r="DT58" s="292"/>
      <c r="DU58" s="292"/>
      <c r="DV58" s="292"/>
      <c r="DW58" s="292"/>
      <c r="DX58" s="292"/>
      <c r="DY58" s="292"/>
      <c r="DZ58" s="292"/>
      <c r="EA58" s="292"/>
      <c r="EB58" s="292"/>
      <c r="EC58" s="292"/>
      <c r="ED58" s="292"/>
      <c r="EE58" s="292"/>
      <c r="EF58" s="292"/>
      <c r="EG58" s="292"/>
      <c r="EH58" s="292"/>
      <c r="EI58" s="292"/>
      <c r="EJ58" s="292"/>
      <c r="EK58" s="292"/>
      <c r="EL58" s="292"/>
      <c r="EM58" s="292"/>
      <c r="EN58" s="292"/>
      <c r="EO58" s="292"/>
      <c r="EP58" s="292"/>
      <c r="EQ58" s="292"/>
      <c r="ER58" s="292"/>
      <c r="ES58" s="292"/>
      <c r="ET58" s="292"/>
      <c r="EU58" s="292"/>
      <c r="EV58" s="292"/>
      <c r="EW58" s="292"/>
      <c r="EX58" s="292"/>
      <c r="EY58" s="292"/>
      <c r="EZ58" s="292"/>
      <c r="FA58" s="292"/>
      <c r="FB58" s="292"/>
      <c r="FC58" s="292"/>
      <c r="FD58" s="292"/>
      <c r="FE58" s="292"/>
      <c r="FF58" s="292"/>
      <c r="FG58" s="292"/>
      <c r="FH58" s="292"/>
      <c r="FI58" s="292"/>
      <c r="FJ58" s="292"/>
      <c r="FK58" s="292"/>
      <c r="FL58" s="292"/>
      <c r="FM58" s="292"/>
      <c r="FN58" s="292"/>
      <c r="FO58" s="292"/>
      <c r="FP58" s="292"/>
      <c r="FQ58" s="292"/>
      <c r="FR58" s="292"/>
      <c r="FS58" s="292"/>
      <c r="FT58" s="292"/>
      <c r="FU58" s="292"/>
      <c r="FV58" s="292"/>
      <c r="FW58" s="292"/>
      <c r="FX58" s="292"/>
      <c r="FY58" s="292"/>
      <c r="FZ58" s="292"/>
      <c r="GA58" s="292"/>
      <c r="GB58" s="292"/>
      <c r="GC58" s="292"/>
      <c r="GD58" s="292"/>
      <c r="GE58" s="292"/>
      <c r="GF58" s="292"/>
      <c r="GG58" s="292"/>
      <c r="GH58" s="292"/>
      <c r="GI58" s="292"/>
      <c r="GJ58" s="292"/>
      <c r="GK58" s="292"/>
      <c r="GL58" s="292"/>
      <c r="GM58" s="292"/>
      <c r="GN58" s="292"/>
      <c r="GO58" s="292"/>
      <c r="GP58" s="292"/>
      <c r="GQ58" s="292"/>
      <c r="GR58" s="292"/>
      <c r="GS58" s="292"/>
      <c r="GT58" s="292"/>
      <c r="GU58" s="292"/>
      <c r="GV58" s="292"/>
      <c r="GW58" s="292"/>
      <c r="GX58" s="292"/>
      <c r="GY58" s="292"/>
      <c r="GZ58" s="292"/>
      <c r="HA58" s="292"/>
      <c r="HB58" s="292"/>
      <c r="HC58" s="292"/>
      <c r="HD58" s="292"/>
      <c r="HE58" s="292"/>
      <c r="HF58" s="292"/>
      <c r="HG58" s="292"/>
      <c r="HH58" s="292"/>
      <c r="HI58" s="292"/>
      <c r="HJ58" s="292"/>
      <c r="HK58" s="292"/>
      <c r="HL58" s="292"/>
      <c r="HM58" s="292"/>
      <c r="HN58" s="292"/>
      <c r="HO58" s="292"/>
      <c r="HP58" s="292"/>
      <c r="HQ58" s="292"/>
      <c r="HR58" s="292"/>
      <c r="HS58" s="292"/>
      <c r="HT58" s="292"/>
      <c r="HU58" s="292"/>
      <c r="HV58" s="292"/>
      <c r="HW58" s="292"/>
    </row>
    <row r="59" spans="1:231" ht="14.1" customHeight="1">
      <c r="A59" s="292"/>
      <c r="B59" s="311"/>
      <c r="C59" s="311"/>
      <c r="E59" s="329"/>
      <c r="F59" s="292"/>
      <c r="G59" s="292"/>
      <c r="H59" s="292"/>
      <c r="I59" s="292"/>
      <c r="K59" s="926"/>
      <c r="L59" s="922"/>
      <c r="M59" s="922"/>
      <c r="N59" s="922"/>
      <c r="O59" s="922"/>
      <c r="P59" s="922"/>
      <c r="Q59" s="922"/>
      <c r="R59" s="922"/>
      <c r="S59" s="922"/>
      <c r="T59" s="922"/>
      <c r="U59" s="291"/>
      <c r="V59" s="291"/>
      <c r="W59" s="291"/>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c r="BW59" s="292"/>
      <c r="BX59" s="292"/>
      <c r="BY59" s="292"/>
      <c r="BZ59" s="292"/>
      <c r="CA59" s="292"/>
      <c r="CB59" s="292"/>
      <c r="CC59" s="292"/>
      <c r="CD59" s="292"/>
      <c r="CE59" s="292"/>
      <c r="CF59" s="292"/>
      <c r="CG59" s="292"/>
      <c r="CH59" s="292"/>
      <c r="CI59" s="292"/>
      <c r="CJ59" s="292"/>
      <c r="CK59" s="292"/>
      <c r="CL59" s="292"/>
      <c r="CM59" s="292"/>
      <c r="CN59" s="292"/>
      <c r="CO59" s="292"/>
      <c r="CP59" s="292"/>
      <c r="CQ59" s="292"/>
      <c r="CR59" s="292"/>
      <c r="CS59" s="292"/>
      <c r="CT59" s="292"/>
      <c r="CU59" s="292"/>
      <c r="CV59" s="292"/>
      <c r="CW59" s="292"/>
      <c r="CX59" s="292"/>
      <c r="CY59" s="292"/>
      <c r="CZ59" s="292"/>
      <c r="DA59" s="292"/>
      <c r="DB59" s="292"/>
      <c r="DC59" s="292"/>
      <c r="DD59" s="292"/>
      <c r="DE59" s="292"/>
      <c r="DF59" s="292"/>
      <c r="DG59" s="292"/>
      <c r="DH59" s="292"/>
      <c r="DI59" s="292"/>
      <c r="DJ59" s="292"/>
      <c r="DK59" s="292"/>
      <c r="DL59" s="292"/>
      <c r="DM59" s="292"/>
      <c r="DN59" s="292"/>
      <c r="DO59" s="292"/>
      <c r="DP59" s="292"/>
      <c r="DQ59" s="292"/>
      <c r="DR59" s="292"/>
      <c r="DS59" s="292"/>
      <c r="DT59" s="292"/>
      <c r="DU59" s="292"/>
      <c r="DV59" s="292"/>
      <c r="DW59" s="292"/>
      <c r="DX59" s="292"/>
      <c r="DY59" s="292"/>
      <c r="DZ59" s="292"/>
      <c r="EA59" s="292"/>
      <c r="EB59" s="292"/>
      <c r="EC59" s="292"/>
      <c r="ED59" s="292"/>
      <c r="EE59" s="292"/>
      <c r="EF59" s="292"/>
      <c r="EG59" s="292"/>
      <c r="EH59" s="292"/>
      <c r="EI59" s="292"/>
      <c r="EJ59" s="292"/>
      <c r="EK59" s="292"/>
      <c r="EL59" s="292"/>
      <c r="EM59" s="292"/>
      <c r="EN59" s="292"/>
      <c r="EO59" s="292"/>
      <c r="EP59" s="292"/>
      <c r="EQ59" s="292"/>
      <c r="ER59" s="292"/>
      <c r="ES59" s="292"/>
      <c r="ET59" s="292"/>
      <c r="EU59" s="292"/>
      <c r="EV59" s="292"/>
      <c r="EW59" s="292"/>
      <c r="EX59" s="292"/>
      <c r="EY59" s="292"/>
      <c r="EZ59" s="292"/>
      <c r="FA59" s="292"/>
      <c r="FB59" s="292"/>
      <c r="FC59" s="292"/>
      <c r="FD59" s="292"/>
      <c r="FE59" s="292"/>
      <c r="FF59" s="292"/>
      <c r="FG59" s="292"/>
      <c r="FH59" s="292"/>
      <c r="FI59" s="292"/>
      <c r="FJ59" s="292"/>
      <c r="FK59" s="292"/>
      <c r="FL59" s="292"/>
      <c r="FM59" s="292"/>
      <c r="FN59" s="292"/>
      <c r="FO59" s="292"/>
      <c r="FP59" s="292"/>
      <c r="FQ59" s="292"/>
      <c r="FR59" s="292"/>
      <c r="FS59" s="292"/>
      <c r="FT59" s="292"/>
      <c r="FU59" s="292"/>
      <c r="FV59" s="292"/>
      <c r="FW59" s="292"/>
      <c r="FX59" s="292"/>
      <c r="FY59" s="292"/>
      <c r="FZ59" s="292"/>
      <c r="GA59" s="292"/>
      <c r="GB59" s="292"/>
      <c r="GC59" s="292"/>
      <c r="GD59" s="292"/>
      <c r="GE59" s="292"/>
      <c r="GF59" s="292"/>
      <c r="GG59" s="292"/>
      <c r="GH59" s="292"/>
      <c r="GI59" s="292"/>
      <c r="GJ59" s="292"/>
      <c r="GK59" s="292"/>
      <c r="GL59" s="292"/>
      <c r="GM59" s="292"/>
      <c r="GN59" s="292"/>
      <c r="GO59" s="292"/>
      <c r="GP59" s="292"/>
      <c r="GQ59" s="292"/>
      <c r="GR59" s="292"/>
      <c r="GS59" s="292"/>
      <c r="GT59" s="292"/>
      <c r="GU59" s="292"/>
      <c r="GV59" s="292"/>
      <c r="GW59" s="292"/>
      <c r="GX59" s="292"/>
      <c r="GY59" s="292"/>
      <c r="GZ59" s="292"/>
      <c r="HA59" s="292"/>
      <c r="HB59" s="292"/>
      <c r="HC59" s="292"/>
      <c r="HD59" s="292"/>
      <c r="HE59" s="292"/>
      <c r="HF59" s="292"/>
      <c r="HG59" s="292"/>
      <c r="HH59" s="292"/>
      <c r="HI59" s="292"/>
      <c r="HJ59" s="292"/>
      <c r="HK59" s="292"/>
      <c r="HL59" s="292"/>
      <c r="HM59" s="292"/>
      <c r="HN59" s="292"/>
      <c r="HO59" s="292"/>
      <c r="HP59" s="292"/>
      <c r="HQ59" s="292"/>
      <c r="HR59" s="292"/>
      <c r="HS59" s="292"/>
      <c r="HT59" s="292"/>
      <c r="HU59" s="292"/>
      <c r="HV59" s="292"/>
      <c r="HW59" s="292"/>
    </row>
    <row r="60" spans="1:231" ht="14.1" customHeight="1">
      <c r="A60" s="292"/>
      <c r="B60" s="311"/>
      <c r="C60" s="311"/>
      <c r="E60" s="329"/>
      <c r="F60" s="292"/>
      <c r="G60" s="292"/>
      <c r="H60" s="292"/>
      <c r="I60" s="292"/>
      <c r="K60" s="926"/>
      <c r="L60" s="922"/>
      <c r="M60" s="922"/>
      <c r="N60" s="922"/>
      <c r="O60" s="922"/>
      <c r="P60" s="922"/>
      <c r="Q60" s="922"/>
      <c r="R60" s="922"/>
      <c r="S60" s="922"/>
      <c r="T60" s="922"/>
      <c r="U60" s="291"/>
      <c r="V60" s="291"/>
      <c r="W60" s="291"/>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c r="BP60" s="292"/>
      <c r="BQ60" s="292"/>
      <c r="BR60" s="292"/>
      <c r="BS60" s="292"/>
      <c r="BT60" s="292"/>
      <c r="BU60" s="292"/>
      <c r="BV60" s="292"/>
      <c r="BW60" s="292"/>
      <c r="BX60" s="292"/>
      <c r="BY60" s="292"/>
      <c r="BZ60" s="292"/>
      <c r="CA60" s="292"/>
      <c r="CB60" s="292"/>
      <c r="CC60" s="292"/>
      <c r="CD60" s="292"/>
      <c r="CE60" s="292"/>
      <c r="CF60" s="292"/>
      <c r="CG60" s="292"/>
      <c r="CH60" s="292"/>
      <c r="CI60" s="292"/>
      <c r="CJ60" s="292"/>
      <c r="CK60" s="292"/>
      <c r="CL60" s="292"/>
      <c r="CM60" s="292"/>
      <c r="CN60" s="292"/>
      <c r="CO60" s="292"/>
      <c r="CP60" s="292"/>
      <c r="CQ60" s="292"/>
      <c r="CR60" s="292"/>
      <c r="CS60" s="292"/>
      <c r="CT60" s="292"/>
      <c r="CU60" s="292"/>
      <c r="CV60" s="292"/>
      <c r="CW60" s="292"/>
      <c r="CX60" s="292"/>
      <c r="CY60" s="292"/>
      <c r="CZ60" s="292"/>
      <c r="DA60" s="292"/>
      <c r="DB60" s="292"/>
      <c r="DC60" s="292"/>
      <c r="DD60" s="292"/>
      <c r="DE60" s="292"/>
      <c r="DF60" s="292"/>
      <c r="DG60" s="292"/>
      <c r="DH60" s="292"/>
      <c r="DI60" s="292"/>
      <c r="DJ60" s="292"/>
      <c r="DK60" s="292"/>
      <c r="DL60" s="292"/>
      <c r="DM60" s="292"/>
      <c r="DN60" s="292"/>
      <c r="DO60" s="292"/>
      <c r="DP60" s="292"/>
      <c r="DQ60" s="292"/>
      <c r="DR60" s="292"/>
      <c r="DS60" s="292"/>
      <c r="DT60" s="292"/>
      <c r="DU60" s="292"/>
      <c r="DV60" s="292"/>
      <c r="DW60" s="292"/>
      <c r="DX60" s="292"/>
      <c r="DY60" s="292"/>
      <c r="DZ60" s="292"/>
      <c r="EA60" s="292"/>
      <c r="EB60" s="292"/>
      <c r="EC60" s="292"/>
      <c r="ED60" s="292"/>
      <c r="EE60" s="292"/>
      <c r="EF60" s="292"/>
      <c r="EG60" s="292"/>
      <c r="EH60" s="292"/>
      <c r="EI60" s="292"/>
      <c r="EJ60" s="292"/>
      <c r="EK60" s="292"/>
      <c r="EL60" s="292"/>
      <c r="EM60" s="292"/>
      <c r="EN60" s="292"/>
      <c r="EO60" s="292"/>
      <c r="EP60" s="292"/>
      <c r="EQ60" s="292"/>
      <c r="ER60" s="292"/>
      <c r="ES60" s="292"/>
      <c r="ET60" s="292"/>
      <c r="EU60" s="292"/>
      <c r="EV60" s="292"/>
      <c r="EW60" s="292"/>
      <c r="EX60" s="292"/>
      <c r="EY60" s="292"/>
      <c r="EZ60" s="292"/>
      <c r="FA60" s="292"/>
      <c r="FB60" s="292"/>
      <c r="FC60" s="292"/>
      <c r="FD60" s="292"/>
      <c r="FE60" s="292"/>
      <c r="FF60" s="292"/>
      <c r="FG60" s="292"/>
      <c r="FH60" s="292"/>
      <c r="FI60" s="292"/>
      <c r="FJ60" s="292"/>
      <c r="FK60" s="292"/>
      <c r="FL60" s="292"/>
      <c r="FM60" s="292"/>
      <c r="FN60" s="292"/>
      <c r="FO60" s="292"/>
      <c r="FP60" s="292"/>
      <c r="FQ60" s="292"/>
      <c r="FR60" s="292"/>
      <c r="FS60" s="292"/>
      <c r="FT60" s="292"/>
      <c r="FU60" s="292"/>
      <c r="FV60" s="292"/>
      <c r="FW60" s="292"/>
      <c r="FX60" s="292"/>
      <c r="FY60" s="292"/>
      <c r="FZ60" s="292"/>
      <c r="GA60" s="292"/>
      <c r="GB60" s="292"/>
      <c r="GC60" s="292"/>
      <c r="GD60" s="292"/>
      <c r="GE60" s="292"/>
      <c r="GF60" s="292"/>
      <c r="GG60" s="292"/>
      <c r="GH60" s="292"/>
      <c r="GI60" s="292"/>
      <c r="GJ60" s="292"/>
      <c r="GK60" s="292"/>
      <c r="GL60" s="292"/>
      <c r="GM60" s="292"/>
      <c r="GN60" s="292"/>
      <c r="GO60" s="292"/>
      <c r="GP60" s="292"/>
      <c r="GQ60" s="292"/>
      <c r="GR60" s="292"/>
      <c r="GS60" s="292"/>
      <c r="GT60" s="292"/>
      <c r="GU60" s="292"/>
      <c r="GV60" s="292"/>
      <c r="GW60" s="292"/>
      <c r="GX60" s="292"/>
      <c r="GY60" s="292"/>
      <c r="GZ60" s="292"/>
      <c r="HA60" s="292"/>
      <c r="HB60" s="292"/>
      <c r="HC60" s="292"/>
      <c r="HD60" s="292"/>
      <c r="HE60" s="292"/>
      <c r="HF60" s="292"/>
      <c r="HG60" s="292"/>
      <c r="HH60" s="292"/>
      <c r="HI60" s="292"/>
      <c r="HJ60" s="292"/>
      <c r="HK60" s="292"/>
      <c r="HL60" s="292"/>
      <c r="HM60" s="292"/>
      <c r="HN60" s="292"/>
      <c r="HO60" s="292"/>
      <c r="HP60" s="292"/>
      <c r="HQ60" s="292"/>
      <c r="HR60" s="292"/>
      <c r="HS60" s="292"/>
      <c r="HT60" s="292"/>
      <c r="HU60" s="292"/>
      <c r="HV60" s="292"/>
      <c r="HW60" s="292"/>
    </row>
    <row r="61" spans="1:231" ht="14.1" customHeight="1">
      <c r="A61" s="292"/>
      <c r="B61" s="311"/>
      <c r="C61" s="311"/>
      <c r="E61" s="329"/>
      <c r="F61" s="292"/>
      <c r="G61" s="292"/>
      <c r="H61" s="292"/>
      <c r="I61" s="292"/>
      <c r="K61" s="926"/>
      <c r="L61" s="922"/>
      <c r="M61" s="922"/>
      <c r="N61" s="922"/>
      <c r="O61" s="922"/>
      <c r="P61" s="922"/>
      <c r="Q61" s="922"/>
      <c r="R61" s="922"/>
      <c r="S61" s="922"/>
      <c r="T61" s="922"/>
      <c r="U61" s="291"/>
      <c r="V61" s="291"/>
      <c r="W61" s="291"/>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92"/>
      <c r="BX61" s="292"/>
      <c r="BY61" s="292"/>
      <c r="BZ61" s="292"/>
      <c r="CA61" s="292"/>
      <c r="CB61" s="292"/>
      <c r="CC61" s="292"/>
      <c r="CD61" s="292"/>
      <c r="CE61" s="292"/>
      <c r="CF61" s="292"/>
      <c r="CG61" s="292"/>
      <c r="CH61" s="292"/>
      <c r="CI61" s="292"/>
      <c r="CJ61" s="292"/>
      <c r="CK61" s="2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2"/>
      <c r="DJ61" s="292"/>
      <c r="DK61" s="292"/>
      <c r="DL61" s="292"/>
      <c r="DM61" s="292"/>
      <c r="DN61" s="292"/>
      <c r="DO61" s="292"/>
      <c r="DP61" s="292"/>
      <c r="DQ61" s="292"/>
      <c r="DR61" s="292"/>
      <c r="DS61" s="292"/>
      <c r="DT61" s="292"/>
      <c r="DU61" s="292"/>
      <c r="DV61" s="292"/>
      <c r="DW61" s="292"/>
      <c r="DX61" s="292"/>
      <c r="DY61" s="292"/>
      <c r="DZ61" s="292"/>
      <c r="EA61" s="292"/>
      <c r="EB61" s="292"/>
      <c r="EC61" s="292"/>
      <c r="ED61" s="292"/>
      <c r="EE61" s="292"/>
      <c r="EF61" s="292"/>
      <c r="EG61" s="292"/>
      <c r="EH61" s="292"/>
      <c r="EI61" s="292"/>
      <c r="EJ61" s="292"/>
      <c r="EK61" s="292"/>
      <c r="EL61" s="292"/>
      <c r="EM61" s="292"/>
      <c r="EN61" s="292"/>
      <c r="EO61" s="292"/>
      <c r="EP61" s="292"/>
      <c r="EQ61" s="292"/>
      <c r="ER61" s="292"/>
      <c r="ES61" s="292"/>
      <c r="ET61" s="292"/>
      <c r="EU61" s="292"/>
      <c r="EV61" s="292"/>
      <c r="EW61" s="292"/>
      <c r="EX61" s="292"/>
      <c r="EY61" s="292"/>
      <c r="EZ61" s="292"/>
      <c r="FA61" s="292"/>
      <c r="FB61" s="292"/>
      <c r="FC61" s="292"/>
      <c r="FD61" s="292"/>
      <c r="FE61" s="292"/>
      <c r="FF61" s="292"/>
      <c r="FG61" s="292"/>
      <c r="FH61" s="292"/>
      <c r="FI61" s="292"/>
      <c r="FJ61" s="292"/>
      <c r="FK61" s="292"/>
      <c r="FL61" s="292"/>
      <c r="FM61" s="292"/>
      <c r="FN61" s="292"/>
      <c r="FO61" s="292"/>
      <c r="FP61" s="292"/>
      <c r="FQ61" s="292"/>
      <c r="FR61" s="292"/>
      <c r="FS61" s="292"/>
      <c r="FT61" s="292"/>
      <c r="FU61" s="292"/>
      <c r="FV61" s="292"/>
      <c r="FW61" s="292"/>
      <c r="FX61" s="292"/>
      <c r="FY61" s="292"/>
      <c r="FZ61" s="292"/>
      <c r="GA61" s="292"/>
      <c r="GB61" s="292"/>
      <c r="GC61" s="292"/>
      <c r="GD61" s="292"/>
      <c r="GE61" s="292"/>
      <c r="GF61" s="292"/>
      <c r="GG61" s="292"/>
      <c r="GH61" s="292"/>
      <c r="GI61" s="292"/>
      <c r="GJ61" s="292"/>
      <c r="GK61" s="292"/>
      <c r="GL61" s="292"/>
      <c r="GM61" s="292"/>
      <c r="GN61" s="292"/>
      <c r="GO61" s="292"/>
      <c r="GP61" s="292"/>
      <c r="GQ61" s="292"/>
      <c r="GR61" s="292"/>
      <c r="GS61" s="292"/>
      <c r="GT61" s="292"/>
      <c r="GU61" s="292"/>
      <c r="GV61" s="292"/>
      <c r="GW61" s="292"/>
      <c r="GX61" s="292"/>
      <c r="GY61" s="292"/>
      <c r="GZ61" s="292"/>
      <c r="HA61" s="292"/>
      <c r="HB61" s="292"/>
      <c r="HC61" s="292"/>
      <c r="HD61" s="292"/>
      <c r="HE61" s="292"/>
      <c r="HF61" s="292"/>
      <c r="HG61" s="292"/>
      <c r="HH61" s="292"/>
      <c r="HI61" s="292"/>
      <c r="HJ61" s="292"/>
      <c r="HK61" s="292"/>
      <c r="HL61" s="292"/>
      <c r="HM61" s="292"/>
      <c r="HN61" s="292"/>
      <c r="HO61" s="292"/>
      <c r="HP61" s="292"/>
      <c r="HQ61" s="292"/>
      <c r="HR61" s="292"/>
      <c r="HS61" s="292"/>
      <c r="HT61" s="292"/>
      <c r="HU61" s="292"/>
      <c r="HV61" s="292"/>
      <c r="HW61" s="292"/>
    </row>
    <row r="62" spans="1:231" ht="14.1" customHeight="1">
      <c r="A62" s="292"/>
      <c r="B62" s="311"/>
      <c r="C62" s="311"/>
      <c r="E62" s="329"/>
      <c r="F62" s="292"/>
      <c r="G62" s="292"/>
      <c r="H62" s="292"/>
      <c r="I62" s="292"/>
      <c r="K62" s="926"/>
      <c r="L62" s="922"/>
      <c r="M62" s="922"/>
      <c r="N62" s="922"/>
      <c r="O62" s="922"/>
      <c r="P62" s="922"/>
      <c r="Q62" s="922"/>
      <c r="R62" s="922"/>
      <c r="S62" s="922"/>
      <c r="T62" s="922"/>
      <c r="U62" s="291"/>
      <c r="V62" s="291"/>
      <c r="W62" s="291"/>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92"/>
      <c r="BX62" s="292"/>
      <c r="BY62" s="292"/>
      <c r="BZ62" s="292"/>
      <c r="CA62" s="292"/>
      <c r="CB62" s="292"/>
      <c r="CC62" s="292"/>
      <c r="CD62" s="292"/>
      <c r="CE62" s="292"/>
      <c r="CF62" s="292"/>
      <c r="CG62" s="292"/>
      <c r="CH62" s="292"/>
      <c r="CI62" s="292"/>
      <c r="CJ62" s="292"/>
      <c r="CK62" s="292"/>
      <c r="CL62" s="292"/>
      <c r="CM62" s="292"/>
      <c r="CN62" s="292"/>
      <c r="CO62" s="292"/>
      <c r="CP62" s="292"/>
      <c r="CQ62" s="292"/>
      <c r="CR62" s="292"/>
      <c r="CS62" s="292"/>
      <c r="CT62" s="292"/>
      <c r="CU62" s="292"/>
      <c r="CV62" s="292"/>
      <c r="CW62" s="292"/>
      <c r="CX62" s="292"/>
      <c r="CY62" s="292"/>
      <c r="CZ62" s="292"/>
      <c r="DA62" s="292"/>
      <c r="DB62" s="292"/>
      <c r="DC62" s="292"/>
      <c r="DD62" s="292"/>
      <c r="DE62" s="292"/>
      <c r="DF62" s="292"/>
      <c r="DG62" s="292"/>
      <c r="DH62" s="292"/>
      <c r="DI62" s="292"/>
      <c r="DJ62" s="292"/>
      <c r="DK62" s="292"/>
      <c r="DL62" s="292"/>
      <c r="DM62" s="292"/>
      <c r="DN62" s="292"/>
      <c r="DO62" s="292"/>
      <c r="DP62" s="292"/>
      <c r="DQ62" s="292"/>
      <c r="DR62" s="292"/>
      <c r="DS62" s="292"/>
      <c r="DT62" s="292"/>
      <c r="DU62" s="292"/>
      <c r="DV62" s="292"/>
      <c r="DW62" s="292"/>
      <c r="DX62" s="292"/>
      <c r="DY62" s="292"/>
      <c r="DZ62" s="292"/>
      <c r="EA62" s="292"/>
      <c r="EB62" s="292"/>
      <c r="EC62" s="292"/>
      <c r="ED62" s="292"/>
      <c r="EE62" s="292"/>
      <c r="EF62" s="292"/>
      <c r="EG62" s="292"/>
      <c r="EH62" s="292"/>
      <c r="EI62" s="292"/>
      <c r="EJ62" s="292"/>
      <c r="EK62" s="292"/>
      <c r="EL62" s="292"/>
      <c r="EM62" s="292"/>
      <c r="EN62" s="292"/>
      <c r="EO62" s="292"/>
      <c r="EP62" s="292"/>
      <c r="EQ62" s="292"/>
      <c r="ER62" s="292"/>
      <c r="ES62" s="292"/>
      <c r="ET62" s="292"/>
      <c r="EU62" s="292"/>
      <c r="EV62" s="292"/>
      <c r="EW62" s="292"/>
      <c r="EX62" s="292"/>
      <c r="EY62" s="292"/>
      <c r="EZ62" s="292"/>
      <c r="FA62" s="292"/>
      <c r="FB62" s="292"/>
      <c r="FC62" s="292"/>
      <c r="FD62" s="292"/>
      <c r="FE62" s="292"/>
      <c r="FF62" s="292"/>
      <c r="FG62" s="292"/>
      <c r="FH62" s="292"/>
      <c r="FI62" s="292"/>
      <c r="FJ62" s="292"/>
      <c r="FK62" s="292"/>
      <c r="FL62" s="292"/>
      <c r="FM62" s="292"/>
      <c r="FN62" s="292"/>
      <c r="FO62" s="292"/>
      <c r="FP62" s="292"/>
      <c r="FQ62" s="292"/>
      <c r="FR62" s="292"/>
      <c r="FS62" s="292"/>
      <c r="FT62" s="292"/>
      <c r="FU62" s="292"/>
      <c r="FV62" s="292"/>
      <c r="FW62" s="292"/>
      <c r="FX62" s="292"/>
      <c r="FY62" s="292"/>
      <c r="FZ62" s="292"/>
      <c r="GA62" s="292"/>
      <c r="GB62" s="292"/>
      <c r="GC62" s="292"/>
      <c r="GD62" s="292"/>
      <c r="GE62" s="292"/>
      <c r="GF62" s="292"/>
      <c r="GG62" s="292"/>
      <c r="GH62" s="292"/>
      <c r="GI62" s="292"/>
      <c r="GJ62" s="292"/>
      <c r="GK62" s="292"/>
      <c r="GL62" s="292"/>
      <c r="GM62" s="292"/>
      <c r="GN62" s="292"/>
      <c r="GO62" s="292"/>
      <c r="GP62" s="292"/>
      <c r="GQ62" s="292"/>
      <c r="GR62" s="292"/>
      <c r="GS62" s="292"/>
      <c r="GT62" s="292"/>
      <c r="GU62" s="292"/>
      <c r="GV62" s="292"/>
      <c r="GW62" s="292"/>
      <c r="GX62" s="292"/>
      <c r="GY62" s="292"/>
      <c r="GZ62" s="292"/>
      <c r="HA62" s="292"/>
      <c r="HB62" s="292"/>
      <c r="HC62" s="292"/>
      <c r="HD62" s="292"/>
      <c r="HE62" s="292"/>
      <c r="HF62" s="292"/>
      <c r="HG62" s="292"/>
      <c r="HH62" s="292"/>
      <c r="HI62" s="292"/>
      <c r="HJ62" s="292"/>
      <c r="HK62" s="292"/>
      <c r="HL62" s="292"/>
      <c r="HM62" s="292"/>
      <c r="HN62" s="292"/>
      <c r="HO62" s="292"/>
      <c r="HP62" s="292"/>
      <c r="HQ62" s="292"/>
      <c r="HR62" s="292"/>
      <c r="HS62" s="292"/>
      <c r="HT62" s="292"/>
      <c r="HU62" s="292"/>
      <c r="HV62" s="292"/>
      <c r="HW62" s="292"/>
    </row>
    <row r="63" spans="1:231" ht="14.1" customHeight="1">
      <c r="A63" s="292"/>
      <c r="B63" s="311"/>
      <c r="C63" s="311"/>
      <c r="E63" s="329"/>
      <c r="F63" s="292"/>
      <c r="G63" s="292"/>
      <c r="H63" s="292"/>
      <c r="I63" s="292"/>
      <c r="K63" s="926"/>
      <c r="L63" s="922"/>
      <c r="M63" s="922"/>
      <c r="N63" s="922"/>
      <c r="O63" s="922"/>
      <c r="P63" s="922"/>
      <c r="Q63" s="922"/>
      <c r="R63" s="922"/>
      <c r="S63" s="922"/>
      <c r="T63" s="922"/>
      <c r="U63" s="291"/>
      <c r="V63" s="291"/>
      <c r="W63" s="291"/>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2"/>
      <c r="CM63" s="292"/>
      <c r="CN63" s="292"/>
      <c r="CO63" s="292"/>
      <c r="CP63" s="292"/>
      <c r="CQ63" s="292"/>
      <c r="CR63" s="292"/>
      <c r="CS63" s="292"/>
      <c r="CT63" s="292"/>
      <c r="CU63" s="292"/>
      <c r="CV63" s="292"/>
      <c r="CW63" s="292"/>
      <c r="CX63" s="292"/>
      <c r="CY63" s="292"/>
      <c r="CZ63" s="292"/>
      <c r="DA63" s="292"/>
      <c r="DB63" s="292"/>
      <c r="DC63" s="292"/>
      <c r="DD63" s="292"/>
      <c r="DE63" s="292"/>
      <c r="DF63" s="292"/>
      <c r="DG63" s="292"/>
      <c r="DH63" s="292"/>
      <c r="DI63" s="292"/>
      <c r="DJ63" s="292"/>
      <c r="DK63" s="292"/>
      <c r="DL63" s="292"/>
      <c r="DM63" s="292"/>
      <c r="DN63" s="292"/>
      <c r="DO63" s="292"/>
      <c r="DP63" s="292"/>
      <c r="DQ63" s="292"/>
      <c r="DR63" s="292"/>
      <c r="DS63" s="292"/>
      <c r="DT63" s="292"/>
      <c r="DU63" s="292"/>
      <c r="DV63" s="292"/>
      <c r="DW63" s="292"/>
      <c r="DX63" s="292"/>
      <c r="DY63" s="292"/>
      <c r="DZ63" s="292"/>
      <c r="EA63" s="292"/>
      <c r="EB63" s="292"/>
      <c r="EC63" s="292"/>
      <c r="ED63" s="292"/>
      <c r="EE63" s="292"/>
      <c r="EF63" s="292"/>
      <c r="EG63" s="292"/>
      <c r="EH63" s="292"/>
      <c r="EI63" s="292"/>
      <c r="EJ63" s="292"/>
      <c r="EK63" s="292"/>
      <c r="EL63" s="292"/>
      <c r="EM63" s="292"/>
      <c r="EN63" s="292"/>
      <c r="EO63" s="292"/>
      <c r="EP63" s="292"/>
      <c r="EQ63" s="292"/>
      <c r="ER63" s="292"/>
      <c r="ES63" s="292"/>
      <c r="ET63" s="292"/>
      <c r="EU63" s="292"/>
      <c r="EV63" s="292"/>
      <c r="EW63" s="292"/>
      <c r="EX63" s="292"/>
      <c r="EY63" s="292"/>
      <c r="EZ63" s="292"/>
      <c r="FA63" s="292"/>
      <c r="FB63" s="292"/>
      <c r="FC63" s="292"/>
      <c r="FD63" s="292"/>
      <c r="FE63" s="292"/>
      <c r="FF63" s="292"/>
      <c r="FG63" s="292"/>
      <c r="FH63" s="292"/>
      <c r="FI63" s="292"/>
      <c r="FJ63" s="292"/>
      <c r="FK63" s="292"/>
      <c r="FL63" s="292"/>
      <c r="FM63" s="292"/>
      <c r="FN63" s="292"/>
      <c r="FO63" s="292"/>
      <c r="FP63" s="292"/>
      <c r="FQ63" s="292"/>
      <c r="FR63" s="292"/>
      <c r="FS63" s="292"/>
      <c r="FT63" s="292"/>
      <c r="FU63" s="292"/>
      <c r="FV63" s="292"/>
      <c r="FW63" s="292"/>
      <c r="FX63" s="292"/>
      <c r="FY63" s="292"/>
      <c r="FZ63" s="292"/>
      <c r="GA63" s="292"/>
      <c r="GB63" s="292"/>
      <c r="GC63" s="292"/>
      <c r="GD63" s="292"/>
      <c r="GE63" s="292"/>
      <c r="GF63" s="292"/>
      <c r="GG63" s="292"/>
      <c r="GH63" s="292"/>
      <c r="GI63" s="292"/>
      <c r="GJ63" s="292"/>
      <c r="GK63" s="292"/>
      <c r="GL63" s="292"/>
      <c r="GM63" s="292"/>
      <c r="GN63" s="292"/>
      <c r="GO63" s="292"/>
      <c r="GP63" s="292"/>
      <c r="GQ63" s="292"/>
      <c r="GR63" s="292"/>
      <c r="GS63" s="292"/>
      <c r="GT63" s="292"/>
      <c r="GU63" s="292"/>
      <c r="GV63" s="292"/>
      <c r="GW63" s="292"/>
      <c r="GX63" s="292"/>
      <c r="GY63" s="292"/>
      <c r="GZ63" s="292"/>
      <c r="HA63" s="292"/>
      <c r="HB63" s="292"/>
      <c r="HC63" s="292"/>
      <c r="HD63" s="292"/>
      <c r="HE63" s="292"/>
      <c r="HF63" s="292"/>
      <c r="HG63" s="292"/>
      <c r="HH63" s="292"/>
      <c r="HI63" s="292"/>
      <c r="HJ63" s="292"/>
      <c r="HK63" s="292"/>
      <c r="HL63" s="292"/>
      <c r="HM63" s="292"/>
      <c r="HN63" s="292"/>
      <c r="HO63" s="292"/>
      <c r="HP63" s="292"/>
      <c r="HQ63" s="292"/>
      <c r="HR63" s="292"/>
      <c r="HS63" s="292"/>
      <c r="HT63" s="292"/>
      <c r="HU63" s="292"/>
      <c r="HV63" s="292"/>
      <c r="HW63" s="292"/>
    </row>
    <row r="64" spans="1:231" ht="14.1" customHeight="1">
      <c r="A64" s="292"/>
      <c r="B64" s="311"/>
      <c r="C64" s="311"/>
      <c r="E64" s="329"/>
      <c r="F64" s="292"/>
      <c r="G64" s="292"/>
      <c r="H64" s="292"/>
      <c r="I64" s="292"/>
      <c r="K64" s="926"/>
      <c r="L64" s="922"/>
      <c r="M64" s="922"/>
      <c r="N64" s="922"/>
      <c r="O64" s="922"/>
      <c r="P64" s="922"/>
      <c r="Q64" s="922"/>
      <c r="R64" s="922"/>
      <c r="S64" s="922"/>
      <c r="T64" s="922"/>
      <c r="U64" s="291"/>
      <c r="V64" s="291"/>
      <c r="W64" s="291"/>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92"/>
      <c r="CA64" s="292"/>
      <c r="CB64" s="292"/>
      <c r="CC64" s="292"/>
      <c r="CD64" s="292"/>
      <c r="CE64" s="292"/>
      <c r="CF64" s="292"/>
      <c r="CG64" s="292"/>
      <c r="CH64" s="292"/>
      <c r="CI64" s="292"/>
      <c r="CJ64" s="292"/>
      <c r="CK64" s="292"/>
      <c r="CL64" s="292"/>
      <c r="CM64" s="292"/>
      <c r="CN64" s="292"/>
      <c r="CO64" s="292"/>
      <c r="CP64" s="292"/>
      <c r="CQ64" s="292"/>
      <c r="CR64" s="292"/>
      <c r="CS64" s="292"/>
      <c r="CT64" s="292"/>
      <c r="CU64" s="292"/>
      <c r="CV64" s="292"/>
      <c r="CW64" s="292"/>
      <c r="CX64" s="292"/>
      <c r="CY64" s="292"/>
      <c r="CZ64" s="292"/>
      <c r="DA64" s="292"/>
      <c r="DB64" s="292"/>
      <c r="DC64" s="292"/>
      <c r="DD64" s="292"/>
      <c r="DE64" s="292"/>
      <c r="DF64" s="292"/>
      <c r="DG64" s="292"/>
      <c r="DH64" s="292"/>
      <c r="DI64" s="292"/>
      <c r="DJ64" s="292"/>
      <c r="DK64" s="292"/>
      <c r="DL64" s="292"/>
      <c r="DM64" s="292"/>
      <c r="DN64" s="292"/>
      <c r="DO64" s="292"/>
      <c r="DP64" s="292"/>
      <c r="DQ64" s="292"/>
      <c r="DR64" s="292"/>
      <c r="DS64" s="292"/>
      <c r="DT64" s="292"/>
      <c r="DU64" s="292"/>
      <c r="DV64" s="292"/>
      <c r="DW64" s="292"/>
      <c r="DX64" s="292"/>
      <c r="DY64" s="292"/>
      <c r="DZ64" s="292"/>
      <c r="EA64" s="292"/>
      <c r="EB64" s="292"/>
      <c r="EC64" s="292"/>
      <c r="ED64" s="292"/>
      <c r="EE64" s="292"/>
      <c r="EF64" s="292"/>
      <c r="EG64" s="292"/>
      <c r="EH64" s="292"/>
      <c r="EI64" s="292"/>
      <c r="EJ64" s="292"/>
      <c r="EK64" s="292"/>
      <c r="EL64" s="292"/>
      <c r="EM64" s="292"/>
      <c r="EN64" s="292"/>
      <c r="EO64" s="292"/>
      <c r="EP64" s="292"/>
      <c r="EQ64" s="292"/>
      <c r="ER64" s="292"/>
      <c r="ES64" s="292"/>
      <c r="ET64" s="292"/>
      <c r="EU64" s="292"/>
      <c r="EV64" s="292"/>
      <c r="EW64" s="292"/>
      <c r="EX64" s="292"/>
      <c r="EY64" s="292"/>
      <c r="EZ64" s="292"/>
      <c r="FA64" s="292"/>
      <c r="FB64" s="292"/>
      <c r="FC64" s="292"/>
      <c r="FD64" s="292"/>
      <c r="FE64" s="292"/>
      <c r="FF64" s="292"/>
      <c r="FG64" s="292"/>
      <c r="FH64" s="292"/>
      <c r="FI64" s="292"/>
      <c r="FJ64" s="292"/>
      <c r="FK64" s="292"/>
      <c r="FL64" s="292"/>
      <c r="FM64" s="292"/>
      <c r="FN64" s="292"/>
      <c r="FO64" s="292"/>
      <c r="FP64" s="292"/>
      <c r="FQ64" s="292"/>
      <c r="FR64" s="292"/>
      <c r="FS64" s="292"/>
      <c r="FT64" s="292"/>
      <c r="FU64" s="292"/>
      <c r="FV64" s="292"/>
      <c r="FW64" s="292"/>
      <c r="FX64" s="292"/>
      <c r="FY64" s="292"/>
      <c r="FZ64" s="292"/>
      <c r="GA64" s="292"/>
      <c r="GB64" s="292"/>
      <c r="GC64" s="292"/>
      <c r="GD64" s="292"/>
      <c r="GE64" s="292"/>
      <c r="GF64" s="292"/>
      <c r="GG64" s="292"/>
      <c r="GH64" s="292"/>
      <c r="GI64" s="292"/>
      <c r="GJ64" s="292"/>
      <c r="GK64" s="292"/>
      <c r="GL64" s="292"/>
      <c r="GM64" s="292"/>
      <c r="GN64" s="292"/>
      <c r="GO64" s="292"/>
      <c r="GP64" s="292"/>
      <c r="GQ64" s="292"/>
      <c r="GR64" s="292"/>
      <c r="GS64" s="292"/>
      <c r="GT64" s="292"/>
      <c r="GU64" s="292"/>
      <c r="GV64" s="292"/>
      <c r="GW64" s="292"/>
      <c r="GX64" s="292"/>
      <c r="GY64" s="292"/>
      <c r="GZ64" s="292"/>
      <c r="HA64" s="292"/>
      <c r="HB64" s="292"/>
      <c r="HC64" s="292"/>
      <c r="HD64" s="292"/>
      <c r="HE64" s="292"/>
      <c r="HF64" s="292"/>
      <c r="HG64" s="292"/>
      <c r="HH64" s="292"/>
      <c r="HI64" s="292"/>
      <c r="HJ64" s="292"/>
      <c r="HK64" s="292"/>
      <c r="HL64" s="292"/>
      <c r="HM64" s="292"/>
      <c r="HN64" s="292"/>
      <c r="HO64" s="292"/>
      <c r="HP64" s="292"/>
      <c r="HQ64" s="292"/>
      <c r="HR64" s="292"/>
      <c r="HS64" s="292"/>
      <c r="HT64" s="292"/>
      <c r="HU64" s="292"/>
      <c r="HV64" s="292"/>
      <c r="HW64" s="292"/>
    </row>
    <row r="65" spans="1:231" ht="14.1" customHeight="1">
      <c r="A65" s="292"/>
      <c r="B65" s="311"/>
      <c r="C65" s="311"/>
      <c r="E65" s="329"/>
      <c r="F65" s="292"/>
      <c r="G65" s="292"/>
      <c r="H65" s="292"/>
      <c r="I65" s="292"/>
      <c r="K65" s="926"/>
      <c r="L65" s="922"/>
      <c r="M65" s="922"/>
      <c r="N65" s="922"/>
      <c r="O65" s="922"/>
      <c r="P65" s="922"/>
      <c r="Q65" s="922"/>
      <c r="R65" s="922"/>
      <c r="S65" s="922"/>
      <c r="T65" s="922"/>
      <c r="U65" s="291"/>
      <c r="V65" s="291"/>
      <c r="W65" s="291"/>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S65" s="292"/>
      <c r="CT65" s="292"/>
      <c r="CU65" s="292"/>
      <c r="CV65" s="292"/>
      <c r="CW65" s="292"/>
      <c r="CX65" s="292"/>
      <c r="CY65" s="292"/>
      <c r="CZ65" s="292"/>
      <c r="DA65" s="292"/>
      <c r="DB65" s="292"/>
      <c r="DC65" s="292"/>
      <c r="DD65" s="292"/>
      <c r="DE65" s="292"/>
      <c r="DF65" s="292"/>
      <c r="DG65" s="292"/>
      <c r="DH65" s="292"/>
      <c r="DI65" s="292"/>
      <c r="DJ65" s="292"/>
      <c r="DK65" s="292"/>
      <c r="DL65" s="292"/>
      <c r="DM65" s="292"/>
      <c r="DN65" s="292"/>
      <c r="DO65" s="292"/>
      <c r="DP65" s="292"/>
      <c r="DQ65" s="292"/>
      <c r="DR65" s="292"/>
      <c r="DS65" s="292"/>
      <c r="DT65" s="292"/>
      <c r="DU65" s="292"/>
      <c r="DV65" s="292"/>
      <c r="DW65" s="292"/>
      <c r="DX65" s="292"/>
      <c r="DY65" s="292"/>
      <c r="DZ65" s="292"/>
      <c r="EA65" s="292"/>
      <c r="EB65" s="292"/>
      <c r="EC65" s="292"/>
      <c r="ED65" s="292"/>
      <c r="EE65" s="292"/>
      <c r="EF65" s="292"/>
      <c r="EG65" s="292"/>
      <c r="EH65" s="292"/>
      <c r="EI65" s="292"/>
      <c r="EJ65" s="292"/>
      <c r="EK65" s="292"/>
      <c r="EL65" s="292"/>
      <c r="EM65" s="292"/>
      <c r="EN65" s="292"/>
      <c r="EO65" s="292"/>
      <c r="EP65" s="292"/>
      <c r="EQ65" s="292"/>
      <c r="ER65" s="292"/>
      <c r="ES65" s="292"/>
      <c r="ET65" s="292"/>
      <c r="EU65" s="292"/>
      <c r="EV65" s="292"/>
      <c r="EW65" s="292"/>
      <c r="EX65" s="292"/>
      <c r="EY65" s="292"/>
      <c r="EZ65" s="292"/>
      <c r="FA65" s="292"/>
      <c r="FB65" s="292"/>
      <c r="FC65" s="292"/>
      <c r="FD65" s="292"/>
      <c r="FE65" s="292"/>
      <c r="FF65" s="292"/>
      <c r="FG65" s="292"/>
      <c r="FH65" s="292"/>
      <c r="FI65" s="292"/>
      <c r="FJ65" s="292"/>
      <c r="FK65" s="292"/>
      <c r="FL65" s="292"/>
      <c r="FM65" s="292"/>
      <c r="FN65" s="292"/>
      <c r="FO65" s="292"/>
      <c r="FP65" s="292"/>
      <c r="FQ65" s="292"/>
      <c r="FR65" s="292"/>
      <c r="FS65" s="292"/>
      <c r="FT65" s="292"/>
      <c r="FU65" s="292"/>
      <c r="FV65" s="292"/>
      <c r="FW65" s="292"/>
      <c r="FX65" s="292"/>
      <c r="FY65" s="292"/>
      <c r="FZ65" s="292"/>
      <c r="GA65" s="292"/>
      <c r="GB65" s="292"/>
      <c r="GC65" s="292"/>
      <c r="GD65" s="292"/>
      <c r="GE65" s="292"/>
      <c r="GF65" s="292"/>
      <c r="GG65" s="292"/>
      <c r="GH65" s="292"/>
      <c r="GI65" s="292"/>
      <c r="GJ65" s="292"/>
      <c r="GK65" s="292"/>
      <c r="GL65" s="292"/>
      <c r="GM65" s="292"/>
      <c r="GN65" s="292"/>
      <c r="GO65" s="292"/>
      <c r="GP65" s="292"/>
      <c r="GQ65" s="292"/>
      <c r="GR65" s="292"/>
      <c r="GS65" s="292"/>
      <c r="GT65" s="292"/>
      <c r="GU65" s="292"/>
      <c r="GV65" s="292"/>
      <c r="GW65" s="292"/>
      <c r="GX65" s="292"/>
      <c r="GY65" s="292"/>
      <c r="GZ65" s="292"/>
      <c r="HA65" s="292"/>
      <c r="HB65" s="292"/>
      <c r="HC65" s="292"/>
      <c r="HD65" s="292"/>
      <c r="HE65" s="292"/>
      <c r="HF65" s="292"/>
      <c r="HG65" s="292"/>
      <c r="HH65" s="292"/>
      <c r="HI65" s="292"/>
      <c r="HJ65" s="292"/>
      <c r="HK65" s="292"/>
      <c r="HL65" s="292"/>
      <c r="HM65" s="292"/>
      <c r="HN65" s="292"/>
      <c r="HO65" s="292"/>
      <c r="HP65" s="292"/>
      <c r="HQ65" s="292"/>
      <c r="HR65" s="292"/>
      <c r="HS65" s="292"/>
      <c r="HT65" s="292"/>
      <c r="HU65" s="292"/>
      <c r="HV65" s="292"/>
      <c r="HW65" s="292"/>
    </row>
    <row r="66" spans="1:231" ht="14.1" customHeight="1">
      <c r="A66" s="292"/>
      <c r="B66" s="311"/>
      <c r="C66" s="311"/>
      <c r="E66" s="329"/>
      <c r="F66" s="292"/>
      <c r="G66" s="292"/>
      <c r="H66" s="292"/>
      <c r="I66" s="292"/>
      <c r="K66" s="926"/>
      <c r="L66" s="922"/>
      <c r="M66" s="922"/>
      <c r="N66" s="922"/>
      <c r="O66" s="922"/>
      <c r="P66" s="922"/>
      <c r="Q66" s="922"/>
      <c r="R66" s="922"/>
      <c r="S66" s="922"/>
      <c r="T66" s="922"/>
      <c r="U66" s="291"/>
      <c r="V66" s="291"/>
      <c r="W66" s="291"/>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2"/>
      <c r="BA66" s="292"/>
      <c r="BB66" s="292"/>
      <c r="BC66" s="292"/>
      <c r="BD66" s="292"/>
      <c r="BE66" s="292"/>
      <c r="BF66" s="292"/>
      <c r="BG66" s="292"/>
      <c r="BH66" s="292"/>
      <c r="BI66" s="292"/>
      <c r="BJ66" s="292"/>
      <c r="BK66" s="292"/>
      <c r="BL66" s="292"/>
      <c r="BM66" s="292"/>
      <c r="BN66" s="292"/>
      <c r="BO66" s="292"/>
      <c r="BP66" s="292"/>
      <c r="BQ66" s="292"/>
      <c r="BR66" s="292"/>
      <c r="BS66" s="292"/>
      <c r="BT66" s="292"/>
      <c r="BU66" s="292"/>
      <c r="BV66" s="292"/>
      <c r="BW66" s="292"/>
      <c r="BX66" s="292"/>
      <c r="BY66" s="292"/>
      <c r="BZ66" s="292"/>
      <c r="CA66" s="292"/>
      <c r="CB66" s="292"/>
      <c r="CC66" s="292"/>
      <c r="CD66" s="292"/>
      <c r="CE66" s="292"/>
      <c r="CF66" s="292"/>
      <c r="CG66" s="292"/>
      <c r="CH66" s="292"/>
      <c r="CI66" s="292"/>
      <c r="CJ66" s="292"/>
      <c r="CK66" s="292"/>
      <c r="CL66" s="292"/>
      <c r="CM66" s="292"/>
      <c r="CN66" s="292"/>
      <c r="CO66" s="292"/>
      <c r="CP66" s="292"/>
      <c r="CQ66" s="292"/>
      <c r="CR66" s="292"/>
      <c r="CS66" s="292"/>
      <c r="CT66" s="292"/>
      <c r="CU66" s="292"/>
      <c r="CV66" s="292"/>
      <c r="CW66" s="292"/>
      <c r="CX66" s="292"/>
      <c r="CY66" s="292"/>
      <c r="CZ66" s="292"/>
      <c r="DA66" s="292"/>
      <c r="DB66" s="292"/>
      <c r="DC66" s="292"/>
      <c r="DD66" s="292"/>
      <c r="DE66" s="292"/>
      <c r="DF66" s="292"/>
      <c r="DG66" s="292"/>
      <c r="DH66" s="292"/>
      <c r="DI66" s="292"/>
      <c r="DJ66" s="292"/>
      <c r="DK66" s="292"/>
      <c r="DL66" s="292"/>
      <c r="DM66" s="292"/>
      <c r="DN66" s="292"/>
      <c r="DO66" s="292"/>
      <c r="DP66" s="292"/>
      <c r="DQ66" s="292"/>
      <c r="DR66" s="292"/>
      <c r="DS66" s="292"/>
      <c r="DT66" s="292"/>
      <c r="DU66" s="292"/>
      <c r="DV66" s="292"/>
      <c r="DW66" s="292"/>
      <c r="DX66" s="292"/>
      <c r="DY66" s="292"/>
      <c r="DZ66" s="292"/>
      <c r="EA66" s="292"/>
      <c r="EB66" s="292"/>
      <c r="EC66" s="292"/>
      <c r="ED66" s="292"/>
      <c r="EE66" s="292"/>
      <c r="EF66" s="292"/>
      <c r="EG66" s="292"/>
      <c r="EH66" s="292"/>
      <c r="EI66" s="292"/>
      <c r="EJ66" s="292"/>
      <c r="EK66" s="292"/>
      <c r="EL66" s="292"/>
      <c r="EM66" s="292"/>
      <c r="EN66" s="292"/>
      <c r="EO66" s="292"/>
      <c r="EP66" s="292"/>
      <c r="EQ66" s="292"/>
      <c r="ER66" s="292"/>
      <c r="ES66" s="292"/>
      <c r="ET66" s="292"/>
      <c r="EU66" s="292"/>
      <c r="EV66" s="292"/>
      <c r="EW66" s="292"/>
      <c r="EX66" s="292"/>
      <c r="EY66" s="292"/>
      <c r="EZ66" s="292"/>
      <c r="FA66" s="292"/>
      <c r="FB66" s="292"/>
      <c r="FC66" s="292"/>
      <c r="FD66" s="292"/>
      <c r="FE66" s="292"/>
      <c r="FF66" s="292"/>
      <c r="FG66" s="292"/>
      <c r="FH66" s="292"/>
      <c r="FI66" s="292"/>
      <c r="FJ66" s="292"/>
      <c r="FK66" s="292"/>
      <c r="FL66" s="292"/>
      <c r="FM66" s="292"/>
      <c r="FN66" s="292"/>
      <c r="FO66" s="292"/>
      <c r="FP66" s="292"/>
      <c r="FQ66" s="292"/>
      <c r="FR66" s="292"/>
      <c r="FS66" s="292"/>
      <c r="FT66" s="292"/>
      <c r="FU66" s="292"/>
      <c r="FV66" s="292"/>
      <c r="FW66" s="292"/>
      <c r="FX66" s="292"/>
      <c r="FY66" s="292"/>
      <c r="FZ66" s="292"/>
      <c r="GA66" s="292"/>
      <c r="GB66" s="292"/>
      <c r="GC66" s="292"/>
      <c r="GD66" s="292"/>
      <c r="GE66" s="292"/>
      <c r="GF66" s="292"/>
      <c r="GG66" s="292"/>
      <c r="GH66" s="292"/>
      <c r="GI66" s="292"/>
      <c r="GJ66" s="292"/>
      <c r="GK66" s="292"/>
      <c r="GL66" s="292"/>
      <c r="GM66" s="292"/>
      <c r="GN66" s="292"/>
      <c r="GO66" s="292"/>
      <c r="GP66" s="292"/>
      <c r="GQ66" s="292"/>
      <c r="GR66" s="292"/>
      <c r="GS66" s="292"/>
      <c r="GT66" s="292"/>
      <c r="GU66" s="292"/>
      <c r="GV66" s="292"/>
      <c r="GW66" s="292"/>
      <c r="GX66" s="292"/>
      <c r="GY66" s="292"/>
      <c r="GZ66" s="292"/>
      <c r="HA66" s="292"/>
      <c r="HB66" s="292"/>
      <c r="HC66" s="292"/>
      <c r="HD66" s="292"/>
      <c r="HE66" s="292"/>
      <c r="HF66" s="292"/>
      <c r="HG66" s="292"/>
      <c r="HH66" s="292"/>
      <c r="HI66" s="292"/>
      <c r="HJ66" s="292"/>
      <c r="HK66" s="292"/>
      <c r="HL66" s="292"/>
      <c r="HM66" s="292"/>
      <c r="HN66" s="292"/>
      <c r="HO66" s="292"/>
      <c r="HP66" s="292"/>
      <c r="HQ66" s="292"/>
      <c r="HR66" s="292"/>
      <c r="HS66" s="292"/>
      <c r="HT66" s="292"/>
      <c r="HU66" s="292"/>
      <c r="HV66" s="292"/>
      <c r="HW66" s="292"/>
    </row>
    <row r="67" spans="1:231" ht="14.1" customHeight="1">
      <c r="A67" s="292"/>
      <c r="B67" s="311"/>
      <c r="C67" s="311"/>
      <c r="E67" s="329"/>
      <c r="F67" s="292"/>
      <c r="G67" s="292"/>
      <c r="H67" s="292"/>
      <c r="I67" s="292"/>
      <c r="K67" s="926"/>
      <c r="L67" s="922"/>
      <c r="M67" s="922"/>
      <c r="N67" s="922"/>
      <c r="O67" s="922"/>
      <c r="P67" s="922"/>
      <c r="Q67" s="922"/>
      <c r="R67" s="922"/>
      <c r="S67" s="922"/>
      <c r="T67" s="922"/>
      <c r="U67" s="291"/>
      <c r="V67" s="291"/>
      <c r="W67" s="291"/>
      <c r="X67" s="292"/>
      <c r="Y67" s="292"/>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292"/>
      <c r="BD67" s="292"/>
      <c r="BE67" s="292"/>
      <c r="BF67" s="292"/>
      <c r="BG67" s="292"/>
      <c r="BH67" s="292"/>
      <c r="BI67" s="292"/>
      <c r="BJ67" s="292"/>
      <c r="BK67" s="292"/>
      <c r="BL67" s="292"/>
      <c r="BM67" s="292"/>
      <c r="BN67" s="292"/>
      <c r="BO67" s="292"/>
      <c r="BP67" s="292"/>
      <c r="BQ67" s="292"/>
      <c r="BR67" s="292"/>
      <c r="BS67" s="292"/>
      <c r="BT67" s="292"/>
      <c r="BU67" s="292"/>
      <c r="BV67" s="292"/>
      <c r="BW67" s="292"/>
      <c r="BX67" s="292"/>
      <c r="BY67" s="292"/>
      <c r="BZ67" s="292"/>
      <c r="CA67" s="292"/>
      <c r="CB67" s="292"/>
      <c r="CC67" s="292"/>
      <c r="CD67" s="292"/>
      <c r="CE67" s="292"/>
      <c r="CF67" s="292"/>
      <c r="CG67" s="292"/>
      <c r="CH67" s="292"/>
      <c r="CI67" s="292"/>
      <c r="CJ67" s="292"/>
      <c r="CK67" s="292"/>
      <c r="CL67" s="292"/>
      <c r="CM67" s="292"/>
      <c r="CN67" s="292"/>
      <c r="CO67" s="292"/>
      <c r="CP67" s="292"/>
      <c r="CQ67" s="292"/>
      <c r="CR67" s="292"/>
      <c r="CS67" s="292"/>
      <c r="CT67" s="292"/>
      <c r="CU67" s="292"/>
      <c r="CV67" s="292"/>
      <c r="CW67" s="292"/>
      <c r="CX67" s="292"/>
      <c r="CY67" s="292"/>
      <c r="CZ67" s="292"/>
      <c r="DA67" s="292"/>
      <c r="DB67" s="292"/>
      <c r="DC67" s="292"/>
      <c r="DD67" s="292"/>
      <c r="DE67" s="292"/>
      <c r="DF67" s="292"/>
      <c r="DG67" s="292"/>
      <c r="DH67" s="292"/>
      <c r="DI67" s="292"/>
      <c r="DJ67" s="292"/>
      <c r="DK67" s="292"/>
      <c r="DL67" s="292"/>
      <c r="DM67" s="292"/>
      <c r="DN67" s="292"/>
      <c r="DO67" s="292"/>
      <c r="DP67" s="292"/>
      <c r="DQ67" s="292"/>
      <c r="DR67" s="292"/>
      <c r="DS67" s="292"/>
      <c r="DT67" s="292"/>
      <c r="DU67" s="292"/>
      <c r="DV67" s="292"/>
      <c r="DW67" s="292"/>
      <c r="DX67" s="292"/>
      <c r="DY67" s="292"/>
      <c r="DZ67" s="292"/>
      <c r="EA67" s="292"/>
      <c r="EB67" s="292"/>
      <c r="EC67" s="292"/>
      <c r="ED67" s="292"/>
      <c r="EE67" s="292"/>
      <c r="EF67" s="292"/>
      <c r="EG67" s="292"/>
      <c r="EH67" s="292"/>
      <c r="EI67" s="292"/>
      <c r="EJ67" s="292"/>
      <c r="EK67" s="292"/>
      <c r="EL67" s="292"/>
      <c r="EM67" s="292"/>
      <c r="EN67" s="292"/>
      <c r="EO67" s="292"/>
      <c r="EP67" s="292"/>
      <c r="EQ67" s="292"/>
      <c r="ER67" s="292"/>
      <c r="ES67" s="292"/>
      <c r="ET67" s="292"/>
      <c r="EU67" s="292"/>
      <c r="EV67" s="292"/>
      <c r="EW67" s="292"/>
      <c r="EX67" s="292"/>
      <c r="EY67" s="292"/>
      <c r="EZ67" s="292"/>
      <c r="FA67" s="292"/>
      <c r="FB67" s="292"/>
      <c r="FC67" s="292"/>
      <c r="FD67" s="292"/>
      <c r="FE67" s="292"/>
      <c r="FF67" s="292"/>
      <c r="FG67" s="292"/>
      <c r="FH67" s="292"/>
      <c r="FI67" s="292"/>
      <c r="FJ67" s="292"/>
      <c r="FK67" s="292"/>
      <c r="FL67" s="292"/>
      <c r="FM67" s="292"/>
      <c r="FN67" s="292"/>
      <c r="FO67" s="292"/>
      <c r="FP67" s="292"/>
      <c r="FQ67" s="292"/>
      <c r="FR67" s="292"/>
      <c r="FS67" s="292"/>
      <c r="FT67" s="292"/>
      <c r="FU67" s="292"/>
      <c r="FV67" s="292"/>
      <c r="FW67" s="292"/>
      <c r="FX67" s="292"/>
      <c r="FY67" s="292"/>
      <c r="FZ67" s="292"/>
      <c r="GA67" s="292"/>
      <c r="GB67" s="292"/>
      <c r="GC67" s="292"/>
      <c r="GD67" s="292"/>
      <c r="GE67" s="292"/>
      <c r="GF67" s="292"/>
      <c r="GG67" s="292"/>
      <c r="GH67" s="292"/>
      <c r="GI67" s="292"/>
      <c r="GJ67" s="292"/>
      <c r="GK67" s="292"/>
      <c r="GL67" s="292"/>
      <c r="GM67" s="292"/>
      <c r="GN67" s="292"/>
      <c r="GO67" s="292"/>
      <c r="GP67" s="292"/>
      <c r="GQ67" s="292"/>
      <c r="GR67" s="292"/>
      <c r="GS67" s="292"/>
      <c r="GT67" s="292"/>
      <c r="GU67" s="292"/>
      <c r="GV67" s="292"/>
      <c r="GW67" s="292"/>
      <c r="GX67" s="292"/>
      <c r="GY67" s="292"/>
      <c r="GZ67" s="292"/>
      <c r="HA67" s="292"/>
      <c r="HB67" s="292"/>
      <c r="HC67" s="292"/>
      <c r="HD67" s="292"/>
      <c r="HE67" s="292"/>
      <c r="HF67" s="292"/>
      <c r="HG67" s="292"/>
      <c r="HH67" s="292"/>
      <c r="HI67" s="292"/>
      <c r="HJ67" s="292"/>
      <c r="HK67" s="292"/>
      <c r="HL67" s="292"/>
      <c r="HM67" s="292"/>
      <c r="HN67" s="292"/>
      <c r="HO67" s="292"/>
      <c r="HP67" s="292"/>
      <c r="HQ67" s="292"/>
      <c r="HR67" s="292"/>
      <c r="HS67" s="292"/>
      <c r="HT67" s="292"/>
      <c r="HU67" s="292"/>
      <c r="HV67" s="292"/>
      <c r="HW67" s="292"/>
    </row>
    <row r="68" spans="1:231" ht="14.1" customHeight="1">
      <c r="A68" s="292"/>
      <c r="B68" s="311"/>
      <c r="C68" s="311"/>
      <c r="E68" s="329"/>
      <c r="F68" s="292"/>
      <c r="G68" s="292"/>
      <c r="H68" s="292"/>
      <c r="I68" s="292"/>
      <c r="K68" s="926"/>
      <c r="L68" s="922"/>
      <c r="M68" s="922"/>
      <c r="N68" s="922"/>
      <c r="O68" s="922"/>
      <c r="P68" s="922"/>
      <c r="Q68" s="922"/>
      <c r="R68" s="922"/>
      <c r="S68" s="922"/>
      <c r="T68" s="922"/>
      <c r="U68" s="291"/>
      <c r="V68" s="291"/>
      <c r="W68" s="291"/>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2"/>
      <c r="BE68" s="292"/>
      <c r="BF68" s="292"/>
      <c r="BG68" s="292"/>
      <c r="BH68" s="292"/>
      <c r="BI68" s="292"/>
      <c r="BJ68" s="292"/>
      <c r="BK68" s="292"/>
      <c r="BL68" s="292"/>
      <c r="BM68" s="292"/>
      <c r="BN68" s="292"/>
      <c r="BO68" s="292"/>
      <c r="BP68" s="292"/>
      <c r="BQ68" s="292"/>
      <c r="BR68" s="292"/>
      <c r="BS68" s="292"/>
      <c r="BT68" s="292"/>
      <c r="BU68" s="292"/>
      <c r="BV68" s="292"/>
      <c r="BW68" s="292"/>
      <c r="BX68" s="292"/>
      <c r="BY68" s="292"/>
      <c r="BZ68" s="292"/>
      <c r="CA68" s="292"/>
      <c r="CB68" s="292"/>
      <c r="CC68" s="292"/>
      <c r="CD68" s="292"/>
      <c r="CE68" s="292"/>
      <c r="CF68" s="292"/>
      <c r="CG68" s="292"/>
      <c r="CH68" s="292"/>
      <c r="CI68" s="292"/>
      <c r="CJ68" s="292"/>
      <c r="CK68" s="292"/>
      <c r="CL68" s="292"/>
      <c r="CM68" s="292"/>
      <c r="CN68" s="292"/>
      <c r="CO68" s="292"/>
      <c r="CP68" s="292"/>
      <c r="CQ68" s="292"/>
      <c r="CR68" s="292"/>
      <c r="CS68" s="292"/>
      <c r="CT68" s="292"/>
      <c r="CU68" s="292"/>
      <c r="CV68" s="292"/>
      <c r="CW68" s="292"/>
      <c r="CX68" s="292"/>
      <c r="CY68" s="292"/>
      <c r="CZ68" s="292"/>
      <c r="DA68" s="292"/>
      <c r="DB68" s="292"/>
      <c r="DC68" s="292"/>
      <c r="DD68" s="292"/>
      <c r="DE68" s="292"/>
      <c r="DF68" s="292"/>
      <c r="DG68" s="292"/>
      <c r="DH68" s="292"/>
      <c r="DI68" s="292"/>
      <c r="DJ68" s="292"/>
      <c r="DK68" s="292"/>
      <c r="DL68" s="292"/>
      <c r="DM68" s="292"/>
      <c r="DN68" s="292"/>
      <c r="DO68" s="292"/>
      <c r="DP68" s="292"/>
      <c r="DQ68" s="292"/>
      <c r="DR68" s="292"/>
      <c r="DS68" s="292"/>
      <c r="DT68" s="292"/>
      <c r="DU68" s="292"/>
      <c r="DV68" s="292"/>
      <c r="DW68" s="292"/>
      <c r="DX68" s="292"/>
      <c r="DY68" s="292"/>
      <c r="DZ68" s="292"/>
      <c r="EA68" s="292"/>
      <c r="EB68" s="292"/>
      <c r="EC68" s="292"/>
      <c r="ED68" s="292"/>
      <c r="EE68" s="292"/>
      <c r="EF68" s="292"/>
      <c r="EG68" s="292"/>
      <c r="EH68" s="292"/>
      <c r="EI68" s="292"/>
      <c r="EJ68" s="292"/>
      <c r="EK68" s="292"/>
      <c r="EL68" s="292"/>
      <c r="EM68" s="292"/>
      <c r="EN68" s="292"/>
      <c r="EO68" s="292"/>
      <c r="EP68" s="292"/>
      <c r="EQ68" s="292"/>
      <c r="ER68" s="292"/>
      <c r="ES68" s="292"/>
      <c r="ET68" s="292"/>
      <c r="EU68" s="292"/>
      <c r="EV68" s="292"/>
      <c r="EW68" s="292"/>
      <c r="EX68" s="292"/>
      <c r="EY68" s="292"/>
      <c r="EZ68" s="292"/>
      <c r="FA68" s="292"/>
      <c r="FB68" s="292"/>
      <c r="FC68" s="292"/>
      <c r="FD68" s="292"/>
      <c r="FE68" s="292"/>
      <c r="FF68" s="292"/>
      <c r="FG68" s="292"/>
      <c r="FH68" s="292"/>
      <c r="FI68" s="292"/>
      <c r="FJ68" s="292"/>
      <c r="FK68" s="292"/>
      <c r="FL68" s="292"/>
      <c r="FM68" s="292"/>
      <c r="FN68" s="292"/>
      <c r="FO68" s="292"/>
      <c r="FP68" s="292"/>
      <c r="FQ68" s="292"/>
      <c r="FR68" s="292"/>
      <c r="FS68" s="292"/>
      <c r="FT68" s="292"/>
      <c r="FU68" s="292"/>
      <c r="FV68" s="292"/>
      <c r="FW68" s="292"/>
      <c r="FX68" s="292"/>
      <c r="FY68" s="292"/>
      <c r="FZ68" s="292"/>
      <c r="GA68" s="292"/>
      <c r="GB68" s="292"/>
      <c r="GC68" s="292"/>
      <c r="GD68" s="292"/>
      <c r="GE68" s="292"/>
      <c r="GF68" s="292"/>
      <c r="GG68" s="292"/>
      <c r="GH68" s="292"/>
      <c r="GI68" s="292"/>
      <c r="GJ68" s="292"/>
      <c r="GK68" s="292"/>
      <c r="GL68" s="292"/>
      <c r="GM68" s="292"/>
      <c r="GN68" s="292"/>
      <c r="GO68" s="292"/>
      <c r="GP68" s="292"/>
      <c r="GQ68" s="292"/>
      <c r="GR68" s="292"/>
      <c r="GS68" s="292"/>
      <c r="GT68" s="292"/>
      <c r="GU68" s="292"/>
      <c r="GV68" s="292"/>
      <c r="GW68" s="292"/>
      <c r="GX68" s="292"/>
      <c r="GY68" s="292"/>
      <c r="GZ68" s="292"/>
      <c r="HA68" s="292"/>
      <c r="HB68" s="292"/>
      <c r="HC68" s="292"/>
      <c r="HD68" s="292"/>
      <c r="HE68" s="292"/>
      <c r="HF68" s="292"/>
      <c r="HG68" s="292"/>
      <c r="HH68" s="292"/>
      <c r="HI68" s="292"/>
      <c r="HJ68" s="292"/>
      <c r="HK68" s="292"/>
      <c r="HL68" s="292"/>
      <c r="HM68" s="292"/>
      <c r="HN68" s="292"/>
      <c r="HO68" s="292"/>
      <c r="HP68" s="292"/>
      <c r="HQ68" s="292"/>
      <c r="HR68" s="292"/>
      <c r="HS68" s="292"/>
      <c r="HT68" s="292"/>
      <c r="HU68" s="292"/>
      <c r="HV68" s="292"/>
      <c r="HW68" s="292"/>
    </row>
    <row r="69" spans="1:231" ht="14.1" customHeight="1">
      <c r="A69" s="292"/>
      <c r="B69" s="311"/>
      <c r="C69" s="311"/>
      <c r="E69" s="329"/>
      <c r="F69" s="292"/>
      <c r="G69" s="292"/>
      <c r="H69" s="292"/>
      <c r="I69" s="292"/>
      <c r="K69" s="926"/>
      <c r="L69" s="922"/>
      <c r="M69" s="922"/>
      <c r="N69" s="922"/>
      <c r="O69" s="922"/>
      <c r="P69" s="922"/>
      <c r="Q69" s="922"/>
      <c r="R69" s="922"/>
      <c r="S69" s="922"/>
      <c r="T69" s="922"/>
      <c r="U69" s="291"/>
      <c r="V69" s="291"/>
      <c r="W69" s="291"/>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c r="BP69" s="292"/>
      <c r="BQ69" s="292"/>
      <c r="BR69" s="292"/>
      <c r="BS69" s="292"/>
      <c r="BT69" s="292"/>
      <c r="BU69" s="292"/>
      <c r="BV69" s="292"/>
      <c r="BW69" s="292"/>
      <c r="BX69" s="292"/>
      <c r="BY69" s="292"/>
      <c r="BZ69" s="292"/>
      <c r="CA69" s="292"/>
      <c r="CB69" s="292"/>
      <c r="CC69" s="292"/>
      <c r="CD69" s="292"/>
      <c r="CE69" s="292"/>
      <c r="CF69" s="292"/>
      <c r="CG69" s="292"/>
      <c r="CH69" s="292"/>
      <c r="CI69" s="292"/>
      <c r="CJ69" s="292"/>
      <c r="CK69" s="292"/>
      <c r="CL69" s="292"/>
      <c r="CM69" s="292"/>
      <c r="CN69" s="292"/>
      <c r="CO69" s="292"/>
      <c r="CP69" s="292"/>
      <c r="CQ69" s="292"/>
      <c r="CR69" s="292"/>
      <c r="CS69" s="292"/>
      <c r="CT69" s="292"/>
      <c r="CU69" s="292"/>
      <c r="CV69" s="292"/>
      <c r="CW69" s="292"/>
      <c r="CX69" s="292"/>
      <c r="CY69" s="292"/>
      <c r="CZ69" s="292"/>
      <c r="DA69" s="292"/>
      <c r="DB69" s="292"/>
      <c r="DC69" s="292"/>
      <c r="DD69" s="292"/>
      <c r="DE69" s="292"/>
      <c r="DF69" s="292"/>
      <c r="DG69" s="292"/>
      <c r="DH69" s="292"/>
      <c r="DI69" s="292"/>
      <c r="DJ69" s="292"/>
      <c r="DK69" s="292"/>
      <c r="DL69" s="292"/>
      <c r="DM69" s="292"/>
      <c r="DN69" s="292"/>
      <c r="DO69" s="292"/>
      <c r="DP69" s="292"/>
      <c r="DQ69" s="292"/>
      <c r="DR69" s="292"/>
      <c r="DS69" s="292"/>
      <c r="DT69" s="292"/>
      <c r="DU69" s="292"/>
      <c r="DV69" s="292"/>
      <c r="DW69" s="292"/>
      <c r="DX69" s="292"/>
      <c r="DY69" s="292"/>
      <c r="DZ69" s="292"/>
      <c r="EA69" s="292"/>
      <c r="EB69" s="292"/>
      <c r="EC69" s="292"/>
      <c r="ED69" s="292"/>
      <c r="EE69" s="292"/>
      <c r="EF69" s="292"/>
      <c r="EG69" s="292"/>
      <c r="EH69" s="292"/>
      <c r="EI69" s="292"/>
      <c r="EJ69" s="292"/>
      <c r="EK69" s="292"/>
      <c r="EL69" s="292"/>
      <c r="EM69" s="292"/>
      <c r="EN69" s="292"/>
      <c r="EO69" s="292"/>
      <c r="EP69" s="292"/>
      <c r="EQ69" s="292"/>
      <c r="ER69" s="292"/>
      <c r="ES69" s="292"/>
      <c r="ET69" s="292"/>
      <c r="EU69" s="292"/>
      <c r="EV69" s="292"/>
      <c r="EW69" s="292"/>
      <c r="EX69" s="292"/>
      <c r="EY69" s="292"/>
      <c r="EZ69" s="292"/>
      <c r="FA69" s="292"/>
      <c r="FB69" s="292"/>
      <c r="FC69" s="292"/>
      <c r="FD69" s="292"/>
      <c r="FE69" s="292"/>
      <c r="FF69" s="292"/>
      <c r="FG69" s="292"/>
      <c r="FH69" s="292"/>
      <c r="FI69" s="292"/>
      <c r="FJ69" s="292"/>
      <c r="FK69" s="292"/>
      <c r="FL69" s="292"/>
      <c r="FM69" s="292"/>
      <c r="FN69" s="292"/>
      <c r="FO69" s="292"/>
      <c r="FP69" s="292"/>
      <c r="FQ69" s="292"/>
      <c r="FR69" s="292"/>
      <c r="FS69" s="292"/>
      <c r="FT69" s="292"/>
      <c r="FU69" s="292"/>
      <c r="FV69" s="292"/>
      <c r="FW69" s="292"/>
      <c r="FX69" s="292"/>
      <c r="FY69" s="292"/>
      <c r="FZ69" s="292"/>
      <c r="GA69" s="292"/>
      <c r="GB69" s="292"/>
      <c r="GC69" s="292"/>
      <c r="GD69" s="292"/>
      <c r="GE69" s="292"/>
      <c r="GF69" s="292"/>
      <c r="GG69" s="292"/>
      <c r="GH69" s="292"/>
      <c r="GI69" s="292"/>
      <c r="GJ69" s="292"/>
      <c r="GK69" s="292"/>
      <c r="GL69" s="292"/>
      <c r="GM69" s="292"/>
      <c r="GN69" s="292"/>
      <c r="GO69" s="292"/>
      <c r="GP69" s="292"/>
      <c r="GQ69" s="292"/>
      <c r="GR69" s="292"/>
      <c r="GS69" s="292"/>
      <c r="GT69" s="292"/>
      <c r="GU69" s="292"/>
      <c r="GV69" s="292"/>
      <c r="GW69" s="292"/>
      <c r="GX69" s="292"/>
      <c r="GY69" s="292"/>
      <c r="GZ69" s="292"/>
      <c r="HA69" s="292"/>
      <c r="HB69" s="292"/>
      <c r="HC69" s="292"/>
      <c r="HD69" s="292"/>
      <c r="HE69" s="292"/>
      <c r="HF69" s="292"/>
      <c r="HG69" s="292"/>
      <c r="HH69" s="292"/>
      <c r="HI69" s="292"/>
      <c r="HJ69" s="292"/>
      <c r="HK69" s="292"/>
      <c r="HL69" s="292"/>
      <c r="HM69" s="292"/>
      <c r="HN69" s="292"/>
      <c r="HO69" s="292"/>
      <c r="HP69" s="292"/>
      <c r="HQ69" s="292"/>
      <c r="HR69" s="292"/>
      <c r="HS69" s="292"/>
      <c r="HT69" s="292"/>
      <c r="HU69" s="292"/>
      <c r="HV69" s="292"/>
      <c r="HW69" s="292"/>
    </row>
    <row r="70" spans="1:231" ht="14.1" customHeight="1">
      <c r="A70" s="292"/>
      <c r="B70" s="311"/>
      <c r="C70" s="311"/>
      <c r="E70" s="329"/>
      <c r="F70" s="292"/>
      <c r="G70" s="292"/>
      <c r="H70" s="292"/>
      <c r="I70" s="292"/>
      <c r="K70" s="926"/>
      <c r="L70" s="922"/>
      <c r="M70" s="922"/>
      <c r="N70" s="922"/>
      <c r="O70" s="922"/>
      <c r="P70" s="922"/>
      <c r="Q70" s="922"/>
      <c r="R70" s="922"/>
      <c r="S70" s="922"/>
      <c r="T70" s="922"/>
      <c r="U70" s="291"/>
      <c r="V70" s="291"/>
      <c r="W70" s="291"/>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2"/>
      <c r="AW70" s="292"/>
      <c r="AX70" s="292"/>
      <c r="AY70" s="292"/>
      <c r="AZ70" s="292"/>
      <c r="BA70" s="292"/>
      <c r="BB70" s="292"/>
      <c r="BC70" s="292"/>
      <c r="BD70" s="292"/>
      <c r="BE70" s="292"/>
      <c r="BF70" s="292"/>
      <c r="BG70" s="292"/>
      <c r="BH70" s="292"/>
      <c r="BI70" s="292"/>
      <c r="BJ70" s="292"/>
      <c r="BK70" s="292"/>
      <c r="BL70" s="292"/>
      <c r="BM70" s="292"/>
      <c r="BN70" s="292"/>
      <c r="BO70" s="292"/>
      <c r="BP70" s="292"/>
      <c r="BQ70" s="292"/>
      <c r="BR70" s="292"/>
      <c r="BS70" s="292"/>
      <c r="BT70" s="292"/>
      <c r="BU70" s="292"/>
      <c r="BV70" s="292"/>
      <c r="BW70" s="292"/>
      <c r="BX70" s="292"/>
      <c r="BY70" s="292"/>
      <c r="BZ70" s="292"/>
      <c r="CA70" s="292"/>
      <c r="CB70" s="292"/>
      <c r="CC70" s="292"/>
      <c r="CD70" s="292"/>
      <c r="CE70" s="292"/>
      <c r="CF70" s="292"/>
      <c r="CG70" s="292"/>
      <c r="CH70" s="292"/>
      <c r="CI70" s="292"/>
      <c r="CJ70" s="292"/>
      <c r="CK70" s="292"/>
      <c r="CL70" s="292"/>
      <c r="CM70" s="292"/>
      <c r="CN70" s="292"/>
      <c r="CO70" s="292"/>
      <c r="CP70" s="292"/>
      <c r="CQ70" s="292"/>
      <c r="CR70" s="292"/>
      <c r="CS70" s="292"/>
      <c r="CT70" s="292"/>
      <c r="CU70" s="292"/>
      <c r="CV70" s="292"/>
      <c r="CW70" s="292"/>
      <c r="CX70" s="292"/>
      <c r="CY70" s="292"/>
      <c r="CZ70" s="292"/>
      <c r="DA70" s="292"/>
      <c r="DB70" s="292"/>
      <c r="DC70" s="292"/>
      <c r="DD70" s="292"/>
      <c r="DE70" s="292"/>
      <c r="DF70" s="292"/>
      <c r="DG70" s="292"/>
      <c r="DH70" s="292"/>
      <c r="DI70" s="292"/>
      <c r="DJ70" s="292"/>
      <c r="DK70" s="292"/>
      <c r="DL70" s="292"/>
      <c r="DM70" s="292"/>
      <c r="DN70" s="292"/>
      <c r="DO70" s="292"/>
      <c r="DP70" s="292"/>
      <c r="DQ70" s="292"/>
      <c r="DR70" s="292"/>
      <c r="DS70" s="292"/>
      <c r="DT70" s="292"/>
      <c r="DU70" s="292"/>
      <c r="DV70" s="292"/>
      <c r="DW70" s="292"/>
      <c r="DX70" s="292"/>
      <c r="DY70" s="292"/>
      <c r="DZ70" s="292"/>
      <c r="EA70" s="292"/>
      <c r="EB70" s="292"/>
      <c r="EC70" s="292"/>
      <c r="ED70" s="292"/>
      <c r="EE70" s="292"/>
      <c r="EF70" s="292"/>
      <c r="EG70" s="292"/>
      <c r="EH70" s="292"/>
      <c r="EI70" s="292"/>
      <c r="EJ70" s="292"/>
      <c r="EK70" s="292"/>
      <c r="EL70" s="292"/>
      <c r="EM70" s="292"/>
      <c r="EN70" s="292"/>
      <c r="EO70" s="292"/>
      <c r="EP70" s="292"/>
      <c r="EQ70" s="292"/>
      <c r="ER70" s="292"/>
      <c r="ES70" s="292"/>
      <c r="ET70" s="292"/>
      <c r="EU70" s="292"/>
      <c r="EV70" s="292"/>
      <c r="EW70" s="292"/>
      <c r="EX70" s="292"/>
      <c r="EY70" s="292"/>
      <c r="EZ70" s="292"/>
      <c r="FA70" s="292"/>
      <c r="FB70" s="292"/>
      <c r="FC70" s="292"/>
      <c r="FD70" s="292"/>
      <c r="FE70" s="292"/>
      <c r="FF70" s="292"/>
      <c r="FG70" s="292"/>
      <c r="FH70" s="292"/>
      <c r="FI70" s="292"/>
      <c r="FJ70" s="292"/>
      <c r="FK70" s="292"/>
      <c r="FL70" s="292"/>
      <c r="FM70" s="292"/>
      <c r="FN70" s="292"/>
      <c r="FO70" s="292"/>
      <c r="FP70" s="292"/>
      <c r="FQ70" s="292"/>
      <c r="FR70" s="292"/>
      <c r="FS70" s="292"/>
      <c r="FT70" s="292"/>
      <c r="FU70" s="292"/>
      <c r="FV70" s="292"/>
      <c r="FW70" s="292"/>
      <c r="FX70" s="292"/>
      <c r="FY70" s="292"/>
      <c r="FZ70" s="292"/>
      <c r="GA70" s="292"/>
      <c r="GB70" s="292"/>
      <c r="GC70" s="292"/>
      <c r="GD70" s="292"/>
      <c r="GE70" s="292"/>
      <c r="GF70" s="292"/>
      <c r="GG70" s="292"/>
      <c r="GH70" s="292"/>
      <c r="GI70" s="292"/>
      <c r="GJ70" s="292"/>
      <c r="GK70" s="292"/>
      <c r="GL70" s="292"/>
      <c r="GM70" s="292"/>
      <c r="GN70" s="292"/>
      <c r="GO70" s="292"/>
      <c r="GP70" s="292"/>
      <c r="GQ70" s="292"/>
      <c r="GR70" s="292"/>
      <c r="GS70" s="292"/>
      <c r="GT70" s="292"/>
      <c r="GU70" s="292"/>
      <c r="GV70" s="292"/>
      <c r="GW70" s="292"/>
      <c r="GX70" s="292"/>
      <c r="GY70" s="292"/>
      <c r="GZ70" s="292"/>
      <c r="HA70" s="292"/>
      <c r="HB70" s="292"/>
      <c r="HC70" s="292"/>
      <c r="HD70" s="292"/>
      <c r="HE70" s="292"/>
      <c r="HF70" s="292"/>
      <c r="HG70" s="292"/>
      <c r="HH70" s="292"/>
      <c r="HI70" s="292"/>
      <c r="HJ70" s="292"/>
      <c r="HK70" s="292"/>
      <c r="HL70" s="292"/>
      <c r="HM70" s="292"/>
      <c r="HN70" s="292"/>
      <c r="HO70" s="292"/>
      <c r="HP70" s="292"/>
      <c r="HQ70" s="292"/>
      <c r="HR70" s="292"/>
      <c r="HS70" s="292"/>
      <c r="HT70" s="292"/>
      <c r="HU70" s="292"/>
      <c r="HV70" s="292"/>
      <c r="HW70" s="292"/>
    </row>
    <row r="71" spans="1:231" ht="14.1" customHeight="1">
      <c r="A71" s="292"/>
      <c r="B71" s="311"/>
      <c r="C71" s="311"/>
      <c r="E71" s="329"/>
      <c r="F71" s="292"/>
      <c r="G71" s="292"/>
      <c r="H71" s="292"/>
      <c r="I71" s="292"/>
      <c r="K71" s="926"/>
      <c r="L71" s="922"/>
      <c r="M71" s="922"/>
      <c r="N71" s="922"/>
      <c r="O71" s="922"/>
      <c r="P71" s="922"/>
      <c r="Q71" s="922"/>
      <c r="R71" s="922"/>
      <c r="S71" s="922"/>
      <c r="T71" s="922"/>
      <c r="U71" s="291"/>
      <c r="V71" s="291"/>
      <c r="W71" s="291"/>
      <c r="X71" s="292"/>
      <c r="Y71" s="292"/>
      <c r="Z71" s="292"/>
      <c r="AA71" s="292"/>
      <c r="AB71" s="292"/>
      <c r="AC71" s="292"/>
      <c r="AD71" s="292"/>
      <c r="AE71" s="292"/>
      <c r="AF71" s="292"/>
      <c r="AG71" s="292"/>
      <c r="AH71" s="292"/>
      <c r="AI71" s="292"/>
      <c r="AJ71" s="292"/>
      <c r="AK71" s="292"/>
      <c r="AL71" s="292"/>
      <c r="AM71" s="292"/>
      <c r="AN71" s="292"/>
      <c r="AO71" s="292"/>
      <c r="AP71" s="292"/>
      <c r="AQ71" s="292"/>
      <c r="AR71" s="292"/>
      <c r="AS71" s="292"/>
      <c r="AT71" s="292"/>
      <c r="AU71" s="292"/>
      <c r="AV71" s="292"/>
      <c r="AW71" s="292"/>
      <c r="AX71" s="292"/>
      <c r="AY71" s="292"/>
      <c r="AZ71" s="292"/>
      <c r="BA71" s="292"/>
      <c r="BB71" s="292"/>
      <c r="BC71" s="292"/>
      <c r="BD71" s="292"/>
      <c r="BE71" s="292"/>
      <c r="BF71" s="292"/>
      <c r="BG71" s="292"/>
      <c r="BH71" s="292"/>
      <c r="BI71" s="292"/>
      <c r="BJ71" s="292"/>
      <c r="BK71" s="292"/>
      <c r="BL71" s="292"/>
      <c r="BM71" s="292"/>
      <c r="BN71" s="292"/>
      <c r="BO71" s="292"/>
      <c r="BP71" s="292"/>
      <c r="BQ71" s="292"/>
      <c r="BR71" s="292"/>
      <c r="BS71" s="292"/>
      <c r="BT71" s="292"/>
      <c r="BU71" s="292"/>
      <c r="BV71" s="292"/>
      <c r="BW71" s="292"/>
      <c r="BX71" s="292"/>
      <c r="BY71" s="292"/>
      <c r="BZ71" s="292"/>
      <c r="CA71" s="292"/>
      <c r="CB71" s="292"/>
      <c r="CC71" s="292"/>
      <c r="CD71" s="292"/>
      <c r="CE71" s="292"/>
      <c r="CF71" s="292"/>
      <c r="CG71" s="292"/>
      <c r="CH71" s="292"/>
      <c r="CI71" s="292"/>
      <c r="CJ71" s="292"/>
      <c r="CK71" s="292"/>
      <c r="CL71" s="292"/>
      <c r="CM71" s="292"/>
      <c r="CN71" s="292"/>
      <c r="CO71" s="292"/>
      <c r="CP71" s="292"/>
      <c r="CQ71" s="292"/>
      <c r="CR71" s="292"/>
      <c r="CS71" s="292"/>
      <c r="CT71" s="292"/>
      <c r="CU71" s="292"/>
      <c r="CV71" s="292"/>
      <c r="CW71" s="292"/>
      <c r="CX71" s="292"/>
      <c r="CY71" s="292"/>
      <c r="CZ71" s="292"/>
      <c r="DA71" s="292"/>
      <c r="DB71" s="292"/>
      <c r="DC71" s="292"/>
      <c r="DD71" s="292"/>
      <c r="DE71" s="292"/>
      <c r="DF71" s="292"/>
      <c r="DG71" s="292"/>
      <c r="DH71" s="292"/>
      <c r="DI71" s="292"/>
      <c r="DJ71" s="292"/>
      <c r="DK71" s="292"/>
      <c r="DL71" s="292"/>
      <c r="DM71" s="292"/>
      <c r="DN71" s="292"/>
      <c r="DO71" s="292"/>
      <c r="DP71" s="292"/>
      <c r="DQ71" s="292"/>
      <c r="DR71" s="292"/>
      <c r="DS71" s="292"/>
      <c r="DT71" s="292"/>
      <c r="DU71" s="292"/>
      <c r="DV71" s="292"/>
      <c r="DW71" s="292"/>
      <c r="DX71" s="292"/>
      <c r="DY71" s="292"/>
      <c r="DZ71" s="292"/>
      <c r="EA71" s="292"/>
      <c r="EB71" s="292"/>
      <c r="EC71" s="292"/>
      <c r="ED71" s="292"/>
      <c r="EE71" s="292"/>
      <c r="EF71" s="292"/>
      <c r="EG71" s="292"/>
      <c r="EH71" s="292"/>
      <c r="EI71" s="292"/>
      <c r="EJ71" s="292"/>
      <c r="EK71" s="292"/>
      <c r="EL71" s="292"/>
      <c r="EM71" s="292"/>
      <c r="EN71" s="292"/>
      <c r="EO71" s="292"/>
      <c r="EP71" s="292"/>
      <c r="EQ71" s="292"/>
      <c r="ER71" s="292"/>
      <c r="ES71" s="292"/>
      <c r="ET71" s="292"/>
      <c r="EU71" s="292"/>
      <c r="EV71" s="292"/>
      <c r="EW71" s="292"/>
      <c r="EX71" s="292"/>
      <c r="EY71" s="292"/>
      <c r="EZ71" s="292"/>
      <c r="FA71" s="292"/>
      <c r="FB71" s="292"/>
      <c r="FC71" s="292"/>
      <c r="FD71" s="292"/>
      <c r="FE71" s="292"/>
      <c r="FF71" s="292"/>
      <c r="FG71" s="292"/>
      <c r="FH71" s="292"/>
      <c r="FI71" s="292"/>
      <c r="FJ71" s="292"/>
      <c r="FK71" s="292"/>
      <c r="FL71" s="292"/>
      <c r="FM71" s="292"/>
      <c r="FN71" s="292"/>
      <c r="FO71" s="292"/>
      <c r="FP71" s="292"/>
      <c r="FQ71" s="292"/>
      <c r="FR71" s="292"/>
      <c r="FS71" s="292"/>
      <c r="FT71" s="292"/>
      <c r="FU71" s="292"/>
      <c r="FV71" s="292"/>
      <c r="FW71" s="292"/>
      <c r="FX71" s="292"/>
      <c r="FY71" s="292"/>
      <c r="FZ71" s="292"/>
      <c r="GA71" s="292"/>
      <c r="GB71" s="292"/>
      <c r="GC71" s="292"/>
      <c r="GD71" s="292"/>
      <c r="GE71" s="292"/>
      <c r="GF71" s="292"/>
      <c r="GG71" s="292"/>
      <c r="GH71" s="292"/>
      <c r="GI71" s="292"/>
      <c r="GJ71" s="292"/>
      <c r="GK71" s="292"/>
      <c r="GL71" s="292"/>
      <c r="GM71" s="292"/>
      <c r="GN71" s="292"/>
      <c r="GO71" s="292"/>
      <c r="GP71" s="292"/>
      <c r="GQ71" s="292"/>
      <c r="GR71" s="292"/>
      <c r="GS71" s="292"/>
      <c r="GT71" s="292"/>
      <c r="GU71" s="292"/>
      <c r="GV71" s="292"/>
      <c r="GW71" s="292"/>
      <c r="GX71" s="292"/>
      <c r="GY71" s="292"/>
      <c r="GZ71" s="292"/>
      <c r="HA71" s="292"/>
      <c r="HB71" s="292"/>
      <c r="HC71" s="292"/>
      <c r="HD71" s="292"/>
      <c r="HE71" s="292"/>
      <c r="HF71" s="292"/>
      <c r="HG71" s="292"/>
      <c r="HH71" s="292"/>
      <c r="HI71" s="292"/>
      <c r="HJ71" s="292"/>
      <c r="HK71" s="292"/>
      <c r="HL71" s="292"/>
      <c r="HM71" s="292"/>
      <c r="HN71" s="292"/>
      <c r="HO71" s="292"/>
      <c r="HP71" s="292"/>
      <c r="HQ71" s="292"/>
      <c r="HR71" s="292"/>
      <c r="HS71" s="292"/>
      <c r="HT71" s="292"/>
      <c r="HU71" s="292"/>
      <c r="HV71" s="292"/>
      <c r="HW71" s="292"/>
    </row>
    <row r="72" spans="1:231" ht="14.1" customHeight="1">
      <c r="A72" s="292"/>
      <c r="B72" s="311"/>
      <c r="C72" s="311"/>
      <c r="E72" s="329"/>
      <c r="F72" s="292"/>
      <c r="G72" s="292"/>
      <c r="H72" s="292"/>
      <c r="I72" s="292"/>
      <c r="K72" s="926"/>
      <c r="L72" s="922"/>
      <c r="M72" s="922"/>
      <c r="N72" s="922"/>
      <c r="O72" s="922"/>
      <c r="P72" s="922"/>
      <c r="Q72" s="922"/>
      <c r="R72" s="922"/>
      <c r="S72" s="922"/>
      <c r="T72" s="922"/>
      <c r="U72" s="291"/>
      <c r="V72" s="291"/>
      <c r="W72" s="291"/>
      <c r="X72" s="292"/>
      <c r="Y72" s="292"/>
      <c r="Z72" s="292"/>
      <c r="AA72" s="292"/>
      <c r="AB72" s="292"/>
      <c r="AC72" s="292"/>
      <c r="AD72" s="292"/>
      <c r="AE72" s="292"/>
      <c r="AF72" s="292"/>
      <c r="AG72" s="292"/>
      <c r="AH72" s="292"/>
      <c r="AI72" s="292"/>
      <c r="AJ72" s="292"/>
      <c r="AK72" s="292"/>
      <c r="AL72" s="292"/>
      <c r="AM72" s="292"/>
      <c r="AN72" s="292"/>
      <c r="AO72" s="292"/>
      <c r="AP72" s="292"/>
      <c r="AQ72" s="292"/>
      <c r="AR72" s="292"/>
      <c r="AS72" s="292"/>
      <c r="AT72" s="292"/>
      <c r="AU72" s="292"/>
      <c r="AV72" s="292"/>
      <c r="AW72" s="292"/>
      <c r="AX72" s="292"/>
      <c r="AY72" s="292"/>
      <c r="AZ72" s="292"/>
      <c r="BA72" s="292"/>
      <c r="BB72" s="292"/>
      <c r="BC72" s="292"/>
      <c r="BD72" s="292"/>
      <c r="BE72" s="292"/>
      <c r="BF72" s="292"/>
      <c r="BG72" s="292"/>
      <c r="BH72" s="292"/>
      <c r="BI72" s="292"/>
      <c r="BJ72" s="292"/>
      <c r="BK72" s="292"/>
      <c r="BL72" s="292"/>
      <c r="BM72" s="292"/>
      <c r="BN72" s="292"/>
      <c r="BO72" s="292"/>
      <c r="BP72" s="292"/>
      <c r="BQ72" s="292"/>
      <c r="BR72" s="292"/>
      <c r="BS72" s="292"/>
      <c r="BT72" s="292"/>
      <c r="BU72" s="292"/>
      <c r="BV72" s="292"/>
      <c r="BW72" s="292"/>
      <c r="BX72" s="292"/>
      <c r="BY72" s="292"/>
      <c r="BZ72" s="292"/>
      <c r="CA72" s="292"/>
      <c r="CB72" s="292"/>
      <c r="CC72" s="292"/>
      <c r="CD72" s="292"/>
      <c r="CE72" s="292"/>
      <c r="CF72" s="292"/>
      <c r="CG72" s="292"/>
      <c r="CH72" s="292"/>
      <c r="CI72" s="292"/>
      <c r="CJ72" s="292"/>
      <c r="CK72" s="292"/>
      <c r="CL72" s="292"/>
      <c r="CM72" s="292"/>
      <c r="CN72" s="292"/>
      <c r="CO72" s="292"/>
      <c r="CP72" s="292"/>
      <c r="CQ72" s="292"/>
      <c r="CR72" s="292"/>
      <c r="CS72" s="292"/>
      <c r="CT72" s="292"/>
      <c r="CU72" s="292"/>
      <c r="CV72" s="292"/>
      <c r="CW72" s="292"/>
      <c r="CX72" s="292"/>
      <c r="CY72" s="292"/>
      <c r="CZ72" s="292"/>
      <c r="DA72" s="292"/>
      <c r="DB72" s="292"/>
      <c r="DC72" s="292"/>
      <c r="DD72" s="292"/>
      <c r="DE72" s="292"/>
      <c r="DF72" s="292"/>
      <c r="DG72" s="292"/>
      <c r="DH72" s="292"/>
      <c r="DI72" s="292"/>
      <c r="DJ72" s="292"/>
      <c r="DK72" s="292"/>
      <c r="DL72" s="292"/>
      <c r="DM72" s="292"/>
      <c r="DN72" s="292"/>
      <c r="DO72" s="292"/>
      <c r="DP72" s="292"/>
      <c r="DQ72" s="292"/>
      <c r="DR72" s="292"/>
      <c r="DS72" s="292"/>
      <c r="DT72" s="292"/>
      <c r="DU72" s="292"/>
      <c r="DV72" s="292"/>
      <c r="DW72" s="292"/>
      <c r="DX72" s="292"/>
      <c r="DY72" s="292"/>
      <c r="DZ72" s="292"/>
      <c r="EA72" s="292"/>
      <c r="EB72" s="292"/>
      <c r="EC72" s="292"/>
      <c r="ED72" s="292"/>
      <c r="EE72" s="292"/>
      <c r="EF72" s="292"/>
      <c r="EG72" s="292"/>
      <c r="EH72" s="292"/>
      <c r="EI72" s="292"/>
      <c r="EJ72" s="292"/>
      <c r="EK72" s="292"/>
      <c r="EL72" s="292"/>
      <c r="EM72" s="292"/>
      <c r="EN72" s="292"/>
      <c r="EO72" s="292"/>
      <c r="EP72" s="292"/>
      <c r="EQ72" s="292"/>
      <c r="ER72" s="292"/>
      <c r="ES72" s="292"/>
      <c r="ET72" s="292"/>
      <c r="EU72" s="292"/>
      <c r="EV72" s="292"/>
      <c r="EW72" s="292"/>
      <c r="EX72" s="292"/>
      <c r="EY72" s="292"/>
      <c r="EZ72" s="292"/>
      <c r="FA72" s="292"/>
      <c r="FB72" s="292"/>
      <c r="FC72" s="292"/>
      <c r="FD72" s="292"/>
      <c r="FE72" s="292"/>
      <c r="FF72" s="292"/>
      <c r="FG72" s="292"/>
      <c r="FH72" s="292"/>
      <c r="FI72" s="292"/>
      <c r="FJ72" s="292"/>
      <c r="FK72" s="292"/>
      <c r="FL72" s="292"/>
      <c r="FM72" s="292"/>
      <c r="FN72" s="292"/>
      <c r="FO72" s="292"/>
      <c r="FP72" s="292"/>
      <c r="FQ72" s="292"/>
      <c r="FR72" s="292"/>
      <c r="FS72" s="292"/>
      <c r="FT72" s="292"/>
      <c r="FU72" s="292"/>
      <c r="FV72" s="292"/>
      <c r="FW72" s="292"/>
      <c r="FX72" s="292"/>
      <c r="FY72" s="292"/>
      <c r="FZ72" s="292"/>
      <c r="GA72" s="292"/>
      <c r="GB72" s="292"/>
      <c r="GC72" s="292"/>
      <c r="GD72" s="292"/>
      <c r="GE72" s="292"/>
      <c r="GF72" s="292"/>
      <c r="GG72" s="292"/>
      <c r="GH72" s="292"/>
      <c r="GI72" s="292"/>
      <c r="GJ72" s="292"/>
      <c r="GK72" s="292"/>
      <c r="GL72" s="292"/>
      <c r="GM72" s="292"/>
      <c r="GN72" s="292"/>
      <c r="GO72" s="292"/>
      <c r="GP72" s="292"/>
      <c r="GQ72" s="292"/>
      <c r="GR72" s="292"/>
      <c r="GS72" s="292"/>
      <c r="GT72" s="292"/>
      <c r="GU72" s="292"/>
      <c r="GV72" s="292"/>
      <c r="GW72" s="292"/>
      <c r="GX72" s="292"/>
      <c r="GY72" s="292"/>
      <c r="GZ72" s="292"/>
      <c r="HA72" s="292"/>
      <c r="HB72" s="292"/>
      <c r="HC72" s="292"/>
      <c r="HD72" s="292"/>
      <c r="HE72" s="292"/>
      <c r="HF72" s="292"/>
      <c r="HG72" s="292"/>
      <c r="HH72" s="292"/>
      <c r="HI72" s="292"/>
      <c r="HJ72" s="292"/>
      <c r="HK72" s="292"/>
      <c r="HL72" s="292"/>
      <c r="HM72" s="292"/>
      <c r="HN72" s="292"/>
      <c r="HO72" s="292"/>
      <c r="HP72" s="292"/>
      <c r="HQ72" s="292"/>
      <c r="HR72" s="292"/>
      <c r="HS72" s="292"/>
      <c r="HT72" s="292"/>
      <c r="HU72" s="292"/>
      <c r="HV72" s="292"/>
      <c r="HW72" s="292"/>
    </row>
    <row r="73" spans="1:231" ht="14.1" customHeight="1">
      <c r="A73" s="292"/>
      <c r="B73" s="311"/>
      <c r="C73" s="311"/>
      <c r="E73" s="329"/>
      <c r="F73" s="292"/>
      <c r="G73" s="292"/>
      <c r="H73" s="292"/>
      <c r="I73" s="292"/>
      <c r="K73" s="926"/>
      <c r="L73" s="922"/>
      <c r="M73" s="922"/>
      <c r="N73" s="922"/>
      <c r="O73" s="922"/>
      <c r="P73" s="922"/>
      <c r="Q73" s="922"/>
      <c r="R73" s="922"/>
      <c r="S73" s="922"/>
      <c r="T73" s="922"/>
      <c r="U73" s="291"/>
      <c r="V73" s="291"/>
      <c r="W73" s="291"/>
      <c r="X73" s="292"/>
      <c r="Y73" s="292"/>
      <c r="Z73" s="292"/>
      <c r="AA73" s="292"/>
      <c r="AB73" s="292"/>
      <c r="AC73" s="292"/>
      <c r="AD73" s="292"/>
      <c r="AE73" s="292"/>
      <c r="AF73" s="292"/>
      <c r="AG73" s="292"/>
      <c r="AH73" s="292"/>
      <c r="AI73" s="292"/>
      <c r="AJ73" s="292"/>
      <c r="AK73" s="292"/>
      <c r="AL73" s="292"/>
      <c r="AM73" s="292"/>
      <c r="AN73" s="292"/>
      <c r="AO73" s="292"/>
      <c r="AP73" s="292"/>
      <c r="AQ73" s="292"/>
      <c r="AR73" s="292"/>
      <c r="AS73" s="292"/>
      <c r="AT73" s="292"/>
      <c r="AU73" s="292"/>
      <c r="AV73" s="292"/>
      <c r="AW73" s="292"/>
      <c r="AX73" s="292"/>
      <c r="AY73" s="292"/>
      <c r="AZ73" s="292"/>
      <c r="BA73" s="292"/>
      <c r="BB73" s="292"/>
      <c r="BC73" s="292"/>
      <c r="BD73" s="292"/>
      <c r="BE73" s="292"/>
      <c r="BF73" s="292"/>
      <c r="BG73" s="292"/>
      <c r="BH73" s="292"/>
      <c r="BI73" s="292"/>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292"/>
      <c r="DI73" s="292"/>
      <c r="DJ73" s="292"/>
      <c r="DK73" s="292"/>
      <c r="DL73" s="292"/>
      <c r="DM73" s="292"/>
      <c r="DN73" s="292"/>
      <c r="DO73" s="292"/>
      <c r="DP73" s="292"/>
      <c r="DQ73" s="292"/>
      <c r="DR73" s="292"/>
      <c r="DS73" s="292"/>
      <c r="DT73" s="292"/>
      <c r="DU73" s="292"/>
      <c r="DV73" s="292"/>
      <c r="DW73" s="292"/>
      <c r="DX73" s="292"/>
      <c r="DY73" s="292"/>
      <c r="DZ73" s="292"/>
      <c r="EA73" s="292"/>
      <c r="EB73" s="292"/>
      <c r="EC73" s="292"/>
      <c r="ED73" s="292"/>
      <c r="EE73" s="292"/>
      <c r="EF73" s="292"/>
      <c r="EG73" s="292"/>
      <c r="EH73" s="292"/>
      <c r="EI73" s="292"/>
      <c r="EJ73" s="292"/>
      <c r="EK73" s="292"/>
      <c r="EL73" s="292"/>
      <c r="EM73" s="292"/>
      <c r="EN73" s="292"/>
      <c r="EO73" s="292"/>
      <c r="EP73" s="292"/>
      <c r="EQ73" s="292"/>
      <c r="ER73" s="292"/>
      <c r="ES73" s="292"/>
      <c r="ET73" s="292"/>
      <c r="EU73" s="292"/>
      <c r="EV73" s="292"/>
      <c r="EW73" s="292"/>
      <c r="EX73" s="292"/>
      <c r="EY73" s="292"/>
      <c r="EZ73" s="292"/>
      <c r="FA73" s="292"/>
      <c r="FB73" s="292"/>
      <c r="FC73" s="292"/>
      <c r="FD73" s="292"/>
      <c r="FE73" s="292"/>
      <c r="FF73" s="292"/>
      <c r="FG73" s="292"/>
      <c r="FH73" s="292"/>
      <c r="FI73" s="292"/>
      <c r="FJ73" s="292"/>
      <c r="FK73" s="292"/>
      <c r="FL73" s="292"/>
      <c r="FM73" s="292"/>
      <c r="FN73" s="292"/>
      <c r="FO73" s="292"/>
      <c r="FP73" s="292"/>
      <c r="FQ73" s="292"/>
      <c r="FR73" s="292"/>
      <c r="FS73" s="292"/>
      <c r="FT73" s="292"/>
      <c r="FU73" s="292"/>
      <c r="FV73" s="292"/>
      <c r="FW73" s="292"/>
      <c r="FX73" s="292"/>
      <c r="FY73" s="292"/>
      <c r="FZ73" s="292"/>
      <c r="GA73" s="292"/>
      <c r="GB73" s="292"/>
      <c r="GC73" s="292"/>
      <c r="GD73" s="292"/>
      <c r="GE73" s="292"/>
      <c r="GF73" s="292"/>
      <c r="GG73" s="292"/>
      <c r="GH73" s="292"/>
      <c r="GI73" s="292"/>
      <c r="GJ73" s="292"/>
      <c r="GK73" s="292"/>
      <c r="GL73" s="292"/>
      <c r="GM73" s="292"/>
      <c r="GN73" s="292"/>
      <c r="GO73" s="292"/>
      <c r="GP73" s="292"/>
      <c r="GQ73" s="292"/>
      <c r="GR73" s="292"/>
      <c r="GS73" s="292"/>
      <c r="GT73" s="292"/>
      <c r="GU73" s="292"/>
      <c r="GV73" s="292"/>
      <c r="GW73" s="292"/>
      <c r="GX73" s="292"/>
      <c r="GY73" s="292"/>
      <c r="GZ73" s="292"/>
      <c r="HA73" s="292"/>
      <c r="HB73" s="292"/>
      <c r="HC73" s="292"/>
      <c r="HD73" s="292"/>
      <c r="HE73" s="292"/>
      <c r="HF73" s="292"/>
      <c r="HG73" s="292"/>
      <c r="HH73" s="292"/>
      <c r="HI73" s="292"/>
      <c r="HJ73" s="292"/>
      <c r="HK73" s="292"/>
      <c r="HL73" s="292"/>
      <c r="HM73" s="292"/>
      <c r="HN73" s="292"/>
      <c r="HO73" s="292"/>
      <c r="HP73" s="292"/>
      <c r="HQ73" s="292"/>
      <c r="HR73" s="292"/>
      <c r="HS73" s="292"/>
      <c r="HT73" s="292"/>
      <c r="HU73" s="292"/>
      <c r="HV73" s="292"/>
      <c r="HW73" s="292"/>
    </row>
    <row r="74" spans="1:231" ht="14.1" customHeight="1">
      <c r="A74" s="292"/>
      <c r="B74" s="311"/>
      <c r="C74" s="311"/>
      <c r="E74" s="329"/>
      <c r="F74" s="292"/>
      <c r="G74" s="292"/>
      <c r="H74" s="292"/>
      <c r="I74" s="292"/>
      <c r="K74" s="926"/>
      <c r="L74" s="922"/>
      <c r="M74" s="922"/>
      <c r="N74" s="922"/>
      <c r="O74" s="922"/>
      <c r="P74" s="922"/>
      <c r="Q74" s="922"/>
      <c r="R74" s="922"/>
      <c r="S74" s="922"/>
      <c r="T74" s="922"/>
      <c r="U74" s="291"/>
      <c r="V74" s="291"/>
      <c r="W74" s="291"/>
      <c r="X74" s="292"/>
      <c r="Y74" s="292"/>
      <c r="Z74" s="292"/>
      <c r="AA74" s="292"/>
      <c r="AB74" s="292"/>
      <c r="AC74" s="292"/>
      <c r="AD74" s="292"/>
      <c r="AE74" s="292"/>
      <c r="AF74" s="292"/>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2"/>
      <c r="BE74" s="292"/>
      <c r="BF74" s="292"/>
      <c r="BG74" s="292"/>
      <c r="BH74" s="292"/>
      <c r="BI74" s="292"/>
      <c r="BJ74" s="292"/>
      <c r="BK74" s="292"/>
      <c r="BL74" s="292"/>
      <c r="BM74" s="292"/>
      <c r="BN74" s="292"/>
      <c r="BO74" s="292"/>
      <c r="BP74" s="292"/>
      <c r="BQ74" s="292"/>
      <c r="BR74" s="292"/>
      <c r="BS74" s="292"/>
      <c r="BT74" s="292"/>
      <c r="BU74" s="292"/>
      <c r="BV74" s="292"/>
      <c r="BW74" s="292"/>
      <c r="BX74" s="292"/>
      <c r="BY74" s="292"/>
      <c r="BZ74" s="292"/>
      <c r="CA74" s="292"/>
      <c r="CB74" s="292"/>
      <c r="CC74" s="292"/>
      <c r="CD74" s="292"/>
      <c r="CE74" s="292"/>
      <c r="CF74" s="292"/>
      <c r="CG74" s="292"/>
      <c r="CH74" s="292"/>
      <c r="CI74" s="292"/>
      <c r="CJ74" s="292"/>
      <c r="CK74" s="292"/>
      <c r="CL74" s="292"/>
      <c r="CM74" s="292"/>
      <c r="CN74" s="292"/>
      <c r="CO74" s="292"/>
      <c r="CP74" s="292"/>
      <c r="CQ74" s="292"/>
      <c r="CR74" s="292"/>
      <c r="CS74" s="292"/>
      <c r="CT74" s="292"/>
      <c r="CU74" s="292"/>
      <c r="CV74" s="292"/>
      <c r="CW74" s="292"/>
      <c r="CX74" s="292"/>
      <c r="CY74" s="292"/>
      <c r="CZ74" s="292"/>
      <c r="DA74" s="292"/>
      <c r="DB74" s="292"/>
      <c r="DC74" s="292"/>
      <c r="DD74" s="292"/>
      <c r="DE74" s="292"/>
      <c r="DF74" s="292"/>
      <c r="DG74" s="292"/>
      <c r="DH74" s="292"/>
      <c r="DI74" s="292"/>
      <c r="DJ74" s="292"/>
      <c r="DK74" s="292"/>
      <c r="DL74" s="292"/>
      <c r="DM74" s="292"/>
      <c r="DN74" s="292"/>
      <c r="DO74" s="292"/>
      <c r="DP74" s="292"/>
      <c r="DQ74" s="292"/>
      <c r="DR74" s="292"/>
      <c r="DS74" s="292"/>
      <c r="DT74" s="292"/>
      <c r="DU74" s="292"/>
      <c r="DV74" s="292"/>
      <c r="DW74" s="292"/>
      <c r="DX74" s="292"/>
      <c r="DY74" s="292"/>
      <c r="DZ74" s="292"/>
      <c r="EA74" s="292"/>
      <c r="EB74" s="292"/>
      <c r="EC74" s="292"/>
      <c r="ED74" s="292"/>
      <c r="EE74" s="292"/>
      <c r="EF74" s="292"/>
      <c r="EG74" s="292"/>
      <c r="EH74" s="292"/>
      <c r="EI74" s="292"/>
      <c r="EJ74" s="292"/>
      <c r="EK74" s="292"/>
      <c r="EL74" s="292"/>
      <c r="EM74" s="292"/>
      <c r="EN74" s="292"/>
      <c r="EO74" s="292"/>
      <c r="EP74" s="292"/>
      <c r="EQ74" s="292"/>
      <c r="ER74" s="292"/>
      <c r="ES74" s="292"/>
      <c r="ET74" s="292"/>
      <c r="EU74" s="292"/>
      <c r="EV74" s="292"/>
      <c r="EW74" s="292"/>
      <c r="EX74" s="292"/>
      <c r="EY74" s="292"/>
      <c r="EZ74" s="292"/>
      <c r="FA74" s="292"/>
      <c r="FB74" s="292"/>
      <c r="FC74" s="292"/>
      <c r="FD74" s="292"/>
      <c r="FE74" s="292"/>
      <c r="FF74" s="292"/>
      <c r="FG74" s="292"/>
      <c r="FH74" s="292"/>
      <c r="FI74" s="292"/>
      <c r="FJ74" s="292"/>
      <c r="FK74" s="292"/>
      <c r="FL74" s="292"/>
      <c r="FM74" s="292"/>
      <c r="FN74" s="292"/>
      <c r="FO74" s="292"/>
      <c r="FP74" s="292"/>
      <c r="FQ74" s="292"/>
      <c r="FR74" s="292"/>
      <c r="FS74" s="292"/>
      <c r="FT74" s="292"/>
      <c r="FU74" s="292"/>
      <c r="FV74" s="292"/>
      <c r="FW74" s="292"/>
      <c r="FX74" s="292"/>
      <c r="FY74" s="292"/>
      <c r="FZ74" s="292"/>
      <c r="GA74" s="292"/>
      <c r="GB74" s="292"/>
      <c r="GC74" s="292"/>
      <c r="GD74" s="292"/>
      <c r="GE74" s="292"/>
      <c r="GF74" s="292"/>
      <c r="GG74" s="292"/>
      <c r="GH74" s="292"/>
      <c r="GI74" s="292"/>
      <c r="GJ74" s="292"/>
      <c r="GK74" s="292"/>
      <c r="GL74" s="292"/>
      <c r="GM74" s="292"/>
      <c r="GN74" s="292"/>
      <c r="GO74" s="292"/>
      <c r="GP74" s="292"/>
      <c r="GQ74" s="292"/>
      <c r="GR74" s="292"/>
      <c r="GS74" s="292"/>
      <c r="GT74" s="292"/>
      <c r="GU74" s="292"/>
      <c r="GV74" s="292"/>
      <c r="GW74" s="292"/>
      <c r="GX74" s="292"/>
      <c r="GY74" s="292"/>
      <c r="GZ74" s="292"/>
      <c r="HA74" s="292"/>
      <c r="HB74" s="292"/>
      <c r="HC74" s="292"/>
      <c r="HD74" s="292"/>
      <c r="HE74" s="292"/>
      <c r="HF74" s="292"/>
      <c r="HG74" s="292"/>
      <c r="HH74" s="292"/>
      <c r="HI74" s="292"/>
      <c r="HJ74" s="292"/>
      <c r="HK74" s="292"/>
      <c r="HL74" s="292"/>
      <c r="HM74" s="292"/>
      <c r="HN74" s="292"/>
      <c r="HO74" s="292"/>
      <c r="HP74" s="292"/>
      <c r="HQ74" s="292"/>
      <c r="HR74" s="292"/>
      <c r="HS74" s="292"/>
      <c r="HT74" s="292"/>
      <c r="HU74" s="292"/>
      <c r="HV74" s="292"/>
      <c r="HW74" s="292"/>
    </row>
    <row r="75" spans="1:231" ht="14.1" customHeight="1">
      <c r="A75" s="292"/>
      <c r="B75" s="311"/>
      <c r="C75" s="311"/>
      <c r="E75" s="329"/>
      <c r="F75" s="292"/>
      <c r="G75" s="292"/>
      <c r="H75" s="292"/>
      <c r="I75" s="292"/>
      <c r="K75" s="926"/>
      <c r="L75" s="922"/>
      <c r="M75" s="922"/>
      <c r="N75" s="922"/>
      <c r="O75" s="922"/>
      <c r="P75" s="922"/>
      <c r="Q75" s="922"/>
      <c r="R75" s="922"/>
      <c r="S75" s="922"/>
      <c r="T75" s="922"/>
      <c r="U75" s="291"/>
      <c r="V75" s="291"/>
      <c r="W75" s="291"/>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2"/>
      <c r="BE75" s="292"/>
      <c r="BF75" s="292"/>
      <c r="BG75" s="292"/>
      <c r="BH75" s="292"/>
      <c r="BI75" s="292"/>
      <c r="BJ75" s="292"/>
      <c r="BK75" s="292"/>
      <c r="BL75" s="292"/>
      <c r="BM75" s="292"/>
      <c r="BN75" s="292"/>
      <c r="BO75" s="292"/>
      <c r="BP75" s="292"/>
      <c r="BQ75" s="292"/>
      <c r="BR75" s="292"/>
      <c r="BS75" s="292"/>
      <c r="BT75" s="292"/>
      <c r="BU75" s="292"/>
      <c r="BV75" s="292"/>
      <c r="BW75" s="292"/>
      <c r="BX75" s="292"/>
      <c r="BY75" s="292"/>
      <c r="BZ75" s="292"/>
      <c r="CA75" s="292"/>
      <c r="CB75" s="292"/>
      <c r="CC75" s="292"/>
      <c r="CD75" s="292"/>
      <c r="CE75" s="292"/>
      <c r="CF75" s="292"/>
      <c r="CG75" s="292"/>
      <c r="CH75" s="292"/>
      <c r="CI75" s="292"/>
      <c r="CJ75" s="292"/>
      <c r="CK75" s="292"/>
      <c r="CL75" s="292"/>
      <c r="CM75" s="292"/>
      <c r="CN75" s="292"/>
      <c r="CO75" s="292"/>
      <c r="CP75" s="292"/>
      <c r="CQ75" s="292"/>
      <c r="CR75" s="292"/>
      <c r="CS75" s="292"/>
      <c r="CT75" s="292"/>
      <c r="CU75" s="292"/>
      <c r="CV75" s="292"/>
      <c r="CW75" s="292"/>
      <c r="CX75" s="292"/>
      <c r="CY75" s="292"/>
      <c r="CZ75" s="292"/>
      <c r="DA75" s="292"/>
      <c r="DB75" s="292"/>
      <c r="DC75" s="292"/>
      <c r="DD75" s="292"/>
      <c r="DE75" s="292"/>
      <c r="DF75" s="292"/>
      <c r="DG75" s="292"/>
      <c r="DH75" s="292"/>
      <c r="DI75" s="292"/>
      <c r="DJ75" s="292"/>
      <c r="DK75" s="292"/>
      <c r="DL75" s="292"/>
      <c r="DM75" s="292"/>
      <c r="DN75" s="292"/>
      <c r="DO75" s="292"/>
      <c r="DP75" s="292"/>
      <c r="DQ75" s="292"/>
      <c r="DR75" s="292"/>
      <c r="DS75" s="292"/>
      <c r="DT75" s="292"/>
      <c r="DU75" s="292"/>
      <c r="DV75" s="292"/>
      <c r="DW75" s="292"/>
      <c r="DX75" s="292"/>
      <c r="DY75" s="292"/>
      <c r="DZ75" s="292"/>
      <c r="EA75" s="292"/>
      <c r="EB75" s="292"/>
      <c r="EC75" s="292"/>
      <c r="ED75" s="292"/>
      <c r="EE75" s="292"/>
      <c r="EF75" s="292"/>
      <c r="EG75" s="292"/>
      <c r="EH75" s="292"/>
      <c r="EI75" s="292"/>
      <c r="EJ75" s="292"/>
      <c r="EK75" s="292"/>
      <c r="EL75" s="292"/>
      <c r="EM75" s="292"/>
      <c r="EN75" s="292"/>
      <c r="EO75" s="292"/>
      <c r="EP75" s="292"/>
      <c r="EQ75" s="292"/>
      <c r="ER75" s="292"/>
      <c r="ES75" s="292"/>
      <c r="ET75" s="292"/>
      <c r="EU75" s="292"/>
      <c r="EV75" s="292"/>
      <c r="EW75" s="292"/>
      <c r="EX75" s="292"/>
      <c r="EY75" s="292"/>
      <c r="EZ75" s="292"/>
      <c r="FA75" s="292"/>
      <c r="FB75" s="292"/>
      <c r="FC75" s="292"/>
      <c r="FD75" s="292"/>
      <c r="FE75" s="292"/>
      <c r="FF75" s="292"/>
      <c r="FG75" s="292"/>
      <c r="FH75" s="292"/>
      <c r="FI75" s="292"/>
      <c r="FJ75" s="292"/>
      <c r="FK75" s="292"/>
      <c r="FL75" s="292"/>
      <c r="FM75" s="292"/>
      <c r="FN75" s="292"/>
      <c r="FO75" s="292"/>
      <c r="FP75" s="292"/>
      <c r="FQ75" s="292"/>
      <c r="FR75" s="292"/>
      <c r="FS75" s="292"/>
      <c r="FT75" s="292"/>
      <c r="FU75" s="292"/>
      <c r="FV75" s="292"/>
      <c r="FW75" s="292"/>
      <c r="FX75" s="292"/>
      <c r="FY75" s="292"/>
      <c r="FZ75" s="292"/>
      <c r="GA75" s="292"/>
      <c r="GB75" s="292"/>
      <c r="GC75" s="292"/>
      <c r="GD75" s="292"/>
      <c r="GE75" s="292"/>
      <c r="GF75" s="292"/>
      <c r="GG75" s="292"/>
      <c r="GH75" s="292"/>
      <c r="GI75" s="292"/>
      <c r="GJ75" s="292"/>
      <c r="GK75" s="292"/>
      <c r="GL75" s="292"/>
      <c r="GM75" s="292"/>
      <c r="GN75" s="292"/>
      <c r="GO75" s="292"/>
      <c r="GP75" s="292"/>
      <c r="GQ75" s="292"/>
      <c r="GR75" s="292"/>
      <c r="GS75" s="292"/>
      <c r="GT75" s="292"/>
      <c r="GU75" s="292"/>
      <c r="GV75" s="292"/>
      <c r="GW75" s="292"/>
      <c r="GX75" s="292"/>
      <c r="GY75" s="292"/>
      <c r="GZ75" s="292"/>
      <c r="HA75" s="292"/>
      <c r="HB75" s="292"/>
      <c r="HC75" s="292"/>
      <c r="HD75" s="292"/>
      <c r="HE75" s="292"/>
      <c r="HF75" s="292"/>
      <c r="HG75" s="292"/>
      <c r="HH75" s="292"/>
      <c r="HI75" s="292"/>
      <c r="HJ75" s="292"/>
      <c r="HK75" s="292"/>
      <c r="HL75" s="292"/>
      <c r="HM75" s="292"/>
      <c r="HN75" s="292"/>
      <c r="HO75" s="292"/>
      <c r="HP75" s="292"/>
      <c r="HQ75" s="292"/>
      <c r="HR75" s="292"/>
      <c r="HS75" s="292"/>
      <c r="HT75" s="292"/>
      <c r="HU75" s="292"/>
      <c r="HV75" s="292"/>
      <c r="HW75" s="292"/>
    </row>
    <row r="76" spans="1:231" ht="14.1" customHeight="1">
      <c r="A76" s="292"/>
      <c r="B76" s="311"/>
      <c r="C76" s="311"/>
      <c r="E76" s="329"/>
      <c r="F76" s="292"/>
      <c r="G76" s="292"/>
      <c r="H76" s="292"/>
      <c r="I76" s="292"/>
      <c r="K76" s="926"/>
      <c r="L76" s="922"/>
      <c r="M76" s="922"/>
      <c r="N76" s="922"/>
      <c r="O76" s="922"/>
      <c r="P76" s="922"/>
      <c r="Q76" s="922"/>
      <c r="R76" s="922"/>
      <c r="S76" s="922"/>
      <c r="T76" s="922"/>
      <c r="U76" s="291"/>
      <c r="V76" s="291"/>
      <c r="W76" s="291"/>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c r="BF76" s="292"/>
      <c r="BG76" s="292"/>
      <c r="BH76" s="292"/>
      <c r="BI76" s="292"/>
      <c r="BJ76" s="292"/>
      <c r="BK76" s="292"/>
      <c r="BL76" s="292"/>
      <c r="BM76" s="292"/>
      <c r="BN76" s="292"/>
      <c r="BO76" s="292"/>
      <c r="BP76" s="292"/>
      <c r="BQ76" s="292"/>
      <c r="BR76" s="292"/>
      <c r="BS76" s="292"/>
      <c r="BT76" s="292"/>
      <c r="BU76" s="292"/>
      <c r="BV76" s="292"/>
      <c r="BW76" s="292"/>
      <c r="BX76" s="292"/>
      <c r="BY76" s="292"/>
      <c r="BZ76" s="292"/>
      <c r="CA76" s="292"/>
      <c r="CB76" s="292"/>
      <c r="CC76" s="292"/>
      <c r="CD76" s="292"/>
      <c r="CE76" s="292"/>
      <c r="CF76" s="292"/>
      <c r="CG76" s="292"/>
      <c r="CH76" s="292"/>
      <c r="CI76" s="292"/>
      <c r="CJ76" s="292"/>
      <c r="CK76" s="292"/>
      <c r="CL76" s="292"/>
      <c r="CM76" s="292"/>
      <c r="CN76" s="292"/>
      <c r="CO76" s="292"/>
      <c r="CP76" s="292"/>
      <c r="CQ76" s="292"/>
      <c r="CR76" s="292"/>
      <c r="CS76" s="292"/>
      <c r="CT76" s="292"/>
      <c r="CU76" s="292"/>
      <c r="CV76" s="292"/>
      <c r="CW76" s="292"/>
      <c r="CX76" s="292"/>
      <c r="CY76" s="292"/>
      <c r="CZ76" s="292"/>
      <c r="DA76" s="292"/>
      <c r="DB76" s="292"/>
      <c r="DC76" s="292"/>
      <c r="DD76" s="292"/>
      <c r="DE76" s="292"/>
      <c r="DF76" s="292"/>
      <c r="DG76" s="292"/>
      <c r="DH76" s="292"/>
      <c r="DI76" s="292"/>
      <c r="DJ76" s="292"/>
      <c r="DK76" s="292"/>
      <c r="DL76" s="292"/>
      <c r="DM76" s="292"/>
      <c r="DN76" s="292"/>
      <c r="DO76" s="292"/>
      <c r="DP76" s="292"/>
      <c r="DQ76" s="292"/>
      <c r="DR76" s="292"/>
      <c r="DS76" s="292"/>
      <c r="DT76" s="292"/>
      <c r="DU76" s="292"/>
      <c r="DV76" s="292"/>
      <c r="DW76" s="292"/>
      <c r="DX76" s="292"/>
      <c r="DY76" s="292"/>
      <c r="DZ76" s="292"/>
      <c r="EA76" s="292"/>
      <c r="EB76" s="292"/>
      <c r="EC76" s="292"/>
      <c r="ED76" s="292"/>
      <c r="EE76" s="292"/>
      <c r="EF76" s="292"/>
      <c r="EG76" s="292"/>
      <c r="EH76" s="292"/>
      <c r="EI76" s="292"/>
      <c r="EJ76" s="292"/>
      <c r="EK76" s="292"/>
      <c r="EL76" s="292"/>
      <c r="EM76" s="292"/>
      <c r="EN76" s="292"/>
      <c r="EO76" s="292"/>
      <c r="EP76" s="292"/>
      <c r="EQ76" s="292"/>
      <c r="ER76" s="292"/>
      <c r="ES76" s="292"/>
      <c r="ET76" s="292"/>
      <c r="EU76" s="292"/>
      <c r="EV76" s="292"/>
      <c r="EW76" s="292"/>
      <c r="EX76" s="292"/>
      <c r="EY76" s="292"/>
      <c r="EZ76" s="292"/>
      <c r="FA76" s="292"/>
      <c r="FB76" s="292"/>
      <c r="FC76" s="292"/>
      <c r="FD76" s="292"/>
      <c r="FE76" s="292"/>
      <c r="FF76" s="292"/>
      <c r="FG76" s="292"/>
      <c r="FH76" s="292"/>
      <c r="FI76" s="292"/>
      <c r="FJ76" s="292"/>
      <c r="FK76" s="292"/>
      <c r="FL76" s="292"/>
      <c r="FM76" s="292"/>
      <c r="FN76" s="292"/>
      <c r="FO76" s="292"/>
      <c r="FP76" s="292"/>
      <c r="FQ76" s="292"/>
      <c r="FR76" s="292"/>
      <c r="FS76" s="292"/>
      <c r="FT76" s="292"/>
      <c r="FU76" s="292"/>
      <c r="FV76" s="292"/>
      <c r="FW76" s="292"/>
      <c r="FX76" s="292"/>
      <c r="FY76" s="292"/>
      <c r="FZ76" s="292"/>
      <c r="GA76" s="292"/>
      <c r="GB76" s="292"/>
      <c r="GC76" s="292"/>
      <c r="GD76" s="292"/>
      <c r="GE76" s="292"/>
      <c r="GF76" s="292"/>
      <c r="GG76" s="292"/>
      <c r="GH76" s="292"/>
      <c r="GI76" s="292"/>
      <c r="GJ76" s="292"/>
      <c r="GK76" s="292"/>
      <c r="GL76" s="292"/>
      <c r="GM76" s="292"/>
      <c r="GN76" s="292"/>
      <c r="GO76" s="292"/>
      <c r="GP76" s="292"/>
      <c r="GQ76" s="292"/>
      <c r="GR76" s="292"/>
      <c r="GS76" s="292"/>
      <c r="GT76" s="292"/>
      <c r="GU76" s="292"/>
      <c r="GV76" s="292"/>
      <c r="GW76" s="292"/>
      <c r="GX76" s="292"/>
      <c r="GY76" s="292"/>
      <c r="GZ76" s="292"/>
      <c r="HA76" s="292"/>
      <c r="HB76" s="292"/>
      <c r="HC76" s="292"/>
      <c r="HD76" s="292"/>
      <c r="HE76" s="292"/>
      <c r="HF76" s="292"/>
      <c r="HG76" s="292"/>
      <c r="HH76" s="292"/>
      <c r="HI76" s="292"/>
      <c r="HJ76" s="292"/>
      <c r="HK76" s="292"/>
      <c r="HL76" s="292"/>
      <c r="HM76" s="292"/>
      <c r="HN76" s="292"/>
      <c r="HO76" s="292"/>
      <c r="HP76" s="292"/>
      <c r="HQ76" s="292"/>
      <c r="HR76" s="292"/>
      <c r="HS76" s="292"/>
      <c r="HT76" s="292"/>
      <c r="HU76" s="292"/>
      <c r="HV76" s="292"/>
      <c r="HW76" s="292"/>
    </row>
    <row r="77" spans="1:231" ht="14.1" customHeight="1">
      <c r="A77" s="292"/>
      <c r="B77" s="311"/>
      <c r="C77" s="311"/>
      <c r="E77" s="329"/>
      <c r="F77" s="292"/>
      <c r="G77" s="292"/>
      <c r="H77" s="292"/>
      <c r="I77" s="292"/>
      <c r="K77" s="926"/>
      <c r="L77" s="922"/>
      <c r="M77" s="922"/>
      <c r="N77" s="922"/>
      <c r="O77" s="922"/>
      <c r="P77" s="922"/>
      <c r="Q77" s="922"/>
      <c r="R77" s="922"/>
      <c r="S77" s="922"/>
      <c r="T77" s="922"/>
      <c r="U77" s="291"/>
      <c r="V77" s="291"/>
      <c r="W77" s="291"/>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c r="BG77" s="292"/>
      <c r="BH77" s="292"/>
      <c r="BI77" s="292"/>
      <c r="BJ77" s="292"/>
      <c r="BK77" s="292"/>
      <c r="BL77" s="292"/>
      <c r="BM77" s="292"/>
      <c r="BN77" s="292"/>
      <c r="BO77" s="292"/>
      <c r="BP77" s="292"/>
      <c r="BQ77" s="292"/>
      <c r="BR77" s="292"/>
      <c r="BS77" s="292"/>
      <c r="BT77" s="292"/>
      <c r="BU77" s="292"/>
      <c r="BV77" s="292"/>
      <c r="BW77" s="292"/>
      <c r="BX77" s="292"/>
      <c r="BY77" s="292"/>
      <c r="BZ77" s="292"/>
      <c r="CA77" s="292"/>
      <c r="CB77" s="292"/>
      <c r="CC77" s="292"/>
      <c r="CD77" s="292"/>
      <c r="CE77" s="292"/>
      <c r="CF77" s="292"/>
      <c r="CG77" s="292"/>
      <c r="CH77" s="292"/>
      <c r="CI77" s="292"/>
      <c r="CJ77" s="292"/>
      <c r="CK77" s="292"/>
      <c r="CL77" s="292"/>
      <c r="CM77" s="292"/>
      <c r="CN77" s="292"/>
      <c r="CO77" s="292"/>
      <c r="CP77" s="292"/>
      <c r="CQ77" s="292"/>
      <c r="CR77" s="292"/>
      <c r="CS77" s="292"/>
      <c r="CT77" s="292"/>
      <c r="CU77" s="292"/>
      <c r="CV77" s="292"/>
      <c r="CW77" s="292"/>
      <c r="CX77" s="292"/>
      <c r="CY77" s="292"/>
      <c r="CZ77" s="292"/>
      <c r="DA77" s="292"/>
      <c r="DB77" s="292"/>
      <c r="DC77" s="292"/>
      <c r="DD77" s="292"/>
      <c r="DE77" s="292"/>
      <c r="DF77" s="292"/>
      <c r="DG77" s="292"/>
      <c r="DH77" s="292"/>
      <c r="DI77" s="292"/>
      <c r="DJ77" s="292"/>
      <c r="DK77" s="292"/>
      <c r="DL77" s="292"/>
      <c r="DM77" s="292"/>
      <c r="DN77" s="292"/>
      <c r="DO77" s="292"/>
      <c r="DP77" s="292"/>
      <c r="DQ77" s="292"/>
      <c r="DR77" s="292"/>
      <c r="DS77" s="292"/>
      <c r="DT77" s="292"/>
      <c r="DU77" s="292"/>
      <c r="DV77" s="292"/>
      <c r="DW77" s="292"/>
      <c r="DX77" s="292"/>
      <c r="DY77" s="292"/>
      <c r="DZ77" s="292"/>
      <c r="EA77" s="292"/>
      <c r="EB77" s="292"/>
      <c r="EC77" s="292"/>
      <c r="ED77" s="292"/>
      <c r="EE77" s="292"/>
      <c r="EF77" s="292"/>
      <c r="EG77" s="292"/>
      <c r="EH77" s="292"/>
      <c r="EI77" s="292"/>
      <c r="EJ77" s="292"/>
      <c r="EK77" s="292"/>
      <c r="EL77" s="292"/>
      <c r="EM77" s="292"/>
      <c r="EN77" s="292"/>
      <c r="EO77" s="292"/>
      <c r="EP77" s="292"/>
      <c r="EQ77" s="292"/>
      <c r="ER77" s="292"/>
      <c r="ES77" s="292"/>
      <c r="ET77" s="292"/>
      <c r="EU77" s="292"/>
      <c r="EV77" s="292"/>
      <c r="EW77" s="292"/>
      <c r="EX77" s="292"/>
      <c r="EY77" s="292"/>
      <c r="EZ77" s="292"/>
      <c r="FA77" s="292"/>
      <c r="FB77" s="292"/>
      <c r="FC77" s="292"/>
      <c r="FD77" s="292"/>
      <c r="FE77" s="292"/>
      <c r="FF77" s="292"/>
      <c r="FG77" s="292"/>
      <c r="FH77" s="292"/>
      <c r="FI77" s="292"/>
      <c r="FJ77" s="292"/>
      <c r="FK77" s="292"/>
      <c r="FL77" s="292"/>
      <c r="FM77" s="292"/>
      <c r="FN77" s="292"/>
      <c r="FO77" s="292"/>
      <c r="FP77" s="292"/>
      <c r="FQ77" s="292"/>
      <c r="FR77" s="292"/>
      <c r="FS77" s="292"/>
      <c r="FT77" s="292"/>
      <c r="FU77" s="292"/>
      <c r="FV77" s="292"/>
      <c r="FW77" s="292"/>
      <c r="FX77" s="292"/>
      <c r="FY77" s="292"/>
      <c r="FZ77" s="292"/>
      <c r="GA77" s="292"/>
      <c r="GB77" s="292"/>
      <c r="GC77" s="292"/>
      <c r="GD77" s="292"/>
      <c r="GE77" s="292"/>
      <c r="GF77" s="292"/>
      <c r="GG77" s="292"/>
      <c r="GH77" s="292"/>
      <c r="GI77" s="292"/>
      <c r="GJ77" s="292"/>
      <c r="GK77" s="292"/>
      <c r="GL77" s="292"/>
      <c r="GM77" s="292"/>
      <c r="GN77" s="292"/>
      <c r="GO77" s="292"/>
      <c r="GP77" s="292"/>
      <c r="GQ77" s="292"/>
      <c r="GR77" s="292"/>
      <c r="GS77" s="292"/>
      <c r="GT77" s="292"/>
      <c r="GU77" s="292"/>
      <c r="GV77" s="292"/>
      <c r="GW77" s="292"/>
      <c r="GX77" s="292"/>
      <c r="GY77" s="292"/>
      <c r="GZ77" s="292"/>
      <c r="HA77" s="292"/>
      <c r="HB77" s="292"/>
      <c r="HC77" s="292"/>
      <c r="HD77" s="292"/>
      <c r="HE77" s="292"/>
      <c r="HF77" s="292"/>
      <c r="HG77" s="292"/>
      <c r="HH77" s="292"/>
      <c r="HI77" s="292"/>
      <c r="HJ77" s="292"/>
      <c r="HK77" s="292"/>
      <c r="HL77" s="292"/>
      <c r="HM77" s="292"/>
      <c r="HN77" s="292"/>
      <c r="HO77" s="292"/>
      <c r="HP77" s="292"/>
      <c r="HQ77" s="292"/>
      <c r="HR77" s="292"/>
      <c r="HS77" s="292"/>
      <c r="HT77" s="292"/>
      <c r="HU77" s="292"/>
      <c r="HV77" s="292"/>
      <c r="HW77" s="292"/>
    </row>
    <row r="78" spans="1:231" ht="14.1" customHeight="1">
      <c r="A78" s="292"/>
      <c r="B78" s="311"/>
      <c r="C78" s="311"/>
      <c r="E78" s="329"/>
      <c r="F78" s="292"/>
      <c r="G78" s="292"/>
      <c r="H78" s="292"/>
      <c r="I78" s="292"/>
      <c r="K78" s="926"/>
      <c r="L78" s="922"/>
      <c r="M78" s="922"/>
      <c r="N78" s="922"/>
      <c r="O78" s="922"/>
      <c r="P78" s="922"/>
      <c r="Q78" s="922"/>
      <c r="R78" s="922"/>
      <c r="S78" s="922"/>
      <c r="T78" s="922"/>
      <c r="U78" s="291"/>
      <c r="V78" s="291"/>
      <c r="W78" s="291"/>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292"/>
      <c r="BM78" s="292"/>
      <c r="BN78" s="292"/>
      <c r="BO78" s="292"/>
      <c r="BP78" s="292"/>
      <c r="BQ78" s="292"/>
      <c r="BR78" s="292"/>
      <c r="BS78" s="292"/>
      <c r="BT78" s="292"/>
      <c r="BU78" s="292"/>
      <c r="BV78" s="292"/>
      <c r="BW78" s="292"/>
      <c r="BX78" s="292"/>
      <c r="BY78" s="292"/>
      <c r="BZ78" s="292"/>
      <c r="CA78" s="292"/>
      <c r="CB78" s="292"/>
      <c r="CC78" s="292"/>
      <c r="CD78" s="292"/>
      <c r="CE78" s="292"/>
      <c r="CF78" s="292"/>
      <c r="CG78" s="292"/>
      <c r="CH78" s="292"/>
      <c r="CI78" s="292"/>
      <c r="CJ78" s="292"/>
      <c r="CK78" s="292"/>
      <c r="CL78" s="292"/>
      <c r="CM78" s="292"/>
      <c r="CN78" s="292"/>
      <c r="CO78" s="292"/>
      <c r="CP78" s="292"/>
      <c r="CQ78" s="292"/>
      <c r="CR78" s="292"/>
      <c r="CS78" s="292"/>
      <c r="CT78" s="292"/>
      <c r="CU78" s="292"/>
      <c r="CV78" s="292"/>
      <c r="CW78" s="292"/>
      <c r="CX78" s="292"/>
      <c r="CY78" s="292"/>
      <c r="CZ78" s="292"/>
      <c r="DA78" s="292"/>
      <c r="DB78" s="292"/>
      <c r="DC78" s="292"/>
      <c r="DD78" s="292"/>
      <c r="DE78" s="292"/>
      <c r="DF78" s="292"/>
      <c r="DG78" s="292"/>
      <c r="DH78" s="292"/>
      <c r="DI78" s="292"/>
      <c r="DJ78" s="292"/>
      <c r="DK78" s="292"/>
      <c r="DL78" s="292"/>
      <c r="DM78" s="292"/>
      <c r="DN78" s="292"/>
      <c r="DO78" s="292"/>
      <c r="DP78" s="292"/>
      <c r="DQ78" s="292"/>
      <c r="DR78" s="292"/>
      <c r="DS78" s="292"/>
      <c r="DT78" s="292"/>
      <c r="DU78" s="292"/>
      <c r="DV78" s="292"/>
      <c r="DW78" s="292"/>
      <c r="DX78" s="292"/>
      <c r="DY78" s="292"/>
      <c r="DZ78" s="292"/>
      <c r="EA78" s="292"/>
      <c r="EB78" s="292"/>
      <c r="EC78" s="292"/>
      <c r="ED78" s="292"/>
      <c r="EE78" s="292"/>
      <c r="EF78" s="292"/>
      <c r="EG78" s="292"/>
      <c r="EH78" s="292"/>
      <c r="EI78" s="292"/>
      <c r="EJ78" s="292"/>
      <c r="EK78" s="292"/>
      <c r="EL78" s="292"/>
      <c r="EM78" s="292"/>
      <c r="EN78" s="292"/>
      <c r="EO78" s="292"/>
      <c r="EP78" s="292"/>
      <c r="EQ78" s="292"/>
      <c r="ER78" s="292"/>
      <c r="ES78" s="292"/>
      <c r="ET78" s="292"/>
      <c r="EU78" s="292"/>
      <c r="EV78" s="292"/>
      <c r="EW78" s="292"/>
      <c r="EX78" s="292"/>
      <c r="EY78" s="292"/>
      <c r="EZ78" s="292"/>
      <c r="FA78" s="292"/>
      <c r="FB78" s="292"/>
      <c r="FC78" s="292"/>
      <c r="FD78" s="292"/>
      <c r="FE78" s="292"/>
      <c r="FF78" s="292"/>
      <c r="FG78" s="292"/>
      <c r="FH78" s="292"/>
      <c r="FI78" s="292"/>
      <c r="FJ78" s="292"/>
      <c r="FK78" s="292"/>
      <c r="FL78" s="292"/>
      <c r="FM78" s="292"/>
      <c r="FN78" s="292"/>
      <c r="FO78" s="292"/>
      <c r="FP78" s="292"/>
      <c r="FQ78" s="292"/>
      <c r="FR78" s="292"/>
      <c r="FS78" s="292"/>
      <c r="FT78" s="292"/>
      <c r="FU78" s="292"/>
      <c r="FV78" s="292"/>
      <c r="FW78" s="292"/>
      <c r="FX78" s="292"/>
      <c r="FY78" s="292"/>
      <c r="FZ78" s="292"/>
      <c r="GA78" s="292"/>
      <c r="GB78" s="292"/>
      <c r="GC78" s="292"/>
      <c r="GD78" s="292"/>
      <c r="GE78" s="292"/>
      <c r="GF78" s="292"/>
      <c r="GG78" s="292"/>
      <c r="GH78" s="292"/>
      <c r="GI78" s="292"/>
      <c r="GJ78" s="292"/>
      <c r="GK78" s="292"/>
      <c r="GL78" s="292"/>
      <c r="GM78" s="292"/>
      <c r="GN78" s="292"/>
      <c r="GO78" s="292"/>
      <c r="GP78" s="292"/>
      <c r="GQ78" s="292"/>
      <c r="GR78" s="292"/>
      <c r="GS78" s="292"/>
      <c r="GT78" s="292"/>
      <c r="GU78" s="292"/>
      <c r="GV78" s="292"/>
      <c r="GW78" s="292"/>
      <c r="GX78" s="292"/>
      <c r="GY78" s="292"/>
      <c r="GZ78" s="292"/>
      <c r="HA78" s="292"/>
      <c r="HB78" s="292"/>
      <c r="HC78" s="292"/>
      <c r="HD78" s="292"/>
      <c r="HE78" s="292"/>
      <c r="HF78" s="292"/>
      <c r="HG78" s="292"/>
      <c r="HH78" s="292"/>
      <c r="HI78" s="292"/>
      <c r="HJ78" s="292"/>
      <c r="HK78" s="292"/>
      <c r="HL78" s="292"/>
      <c r="HM78" s="292"/>
      <c r="HN78" s="292"/>
      <c r="HO78" s="292"/>
      <c r="HP78" s="292"/>
      <c r="HQ78" s="292"/>
      <c r="HR78" s="292"/>
      <c r="HS78" s="292"/>
      <c r="HT78" s="292"/>
      <c r="HU78" s="292"/>
      <c r="HV78" s="292"/>
      <c r="HW78" s="292"/>
    </row>
    <row r="79" spans="1:231" ht="14.1" customHeight="1">
      <c r="A79" s="292"/>
      <c r="B79" s="311"/>
      <c r="C79" s="311"/>
      <c r="E79" s="329"/>
      <c r="F79" s="292"/>
      <c r="G79" s="292"/>
      <c r="H79" s="292"/>
      <c r="I79" s="292"/>
      <c r="K79" s="926"/>
      <c r="L79" s="922"/>
      <c r="M79" s="922"/>
      <c r="N79" s="922"/>
      <c r="O79" s="922"/>
      <c r="P79" s="922"/>
      <c r="Q79" s="922"/>
      <c r="R79" s="922"/>
      <c r="S79" s="922"/>
      <c r="T79" s="922"/>
      <c r="U79" s="291"/>
      <c r="V79" s="291"/>
      <c r="W79" s="291"/>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c r="BF79" s="292"/>
      <c r="BG79" s="292"/>
      <c r="BH79" s="292"/>
      <c r="BI79" s="292"/>
      <c r="BJ79" s="292"/>
      <c r="BK79" s="292"/>
      <c r="BL79" s="292"/>
      <c r="BM79" s="292"/>
      <c r="BN79" s="292"/>
      <c r="BO79" s="292"/>
      <c r="BP79" s="292"/>
      <c r="BQ79" s="292"/>
      <c r="BR79" s="292"/>
      <c r="BS79" s="292"/>
      <c r="BT79" s="292"/>
      <c r="BU79" s="292"/>
      <c r="BV79" s="292"/>
      <c r="BW79" s="292"/>
      <c r="BX79" s="292"/>
      <c r="BY79" s="292"/>
      <c r="BZ79" s="292"/>
      <c r="CA79" s="292"/>
      <c r="CB79" s="292"/>
      <c r="CC79" s="292"/>
      <c r="CD79" s="292"/>
      <c r="CE79" s="292"/>
      <c r="CF79" s="292"/>
      <c r="CG79" s="292"/>
      <c r="CH79" s="292"/>
      <c r="CI79" s="292"/>
      <c r="CJ79" s="292"/>
      <c r="CK79" s="292"/>
      <c r="CL79" s="292"/>
      <c r="CM79" s="292"/>
      <c r="CN79" s="292"/>
      <c r="CO79" s="292"/>
      <c r="CP79" s="292"/>
      <c r="CQ79" s="292"/>
      <c r="CR79" s="292"/>
      <c r="CS79" s="292"/>
      <c r="CT79" s="292"/>
      <c r="CU79" s="292"/>
      <c r="CV79" s="292"/>
      <c r="CW79" s="292"/>
      <c r="CX79" s="292"/>
      <c r="CY79" s="292"/>
      <c r="CZ79" s="292"/>
      <c r="DA79" s="292"/>
      <c r="DB79" s="292"/>
      <c r="DC79" s="292"/>
      <c r="DD79" s="292"/>
      <c r="DE79" s="292"/>
      <c r="DF79" s="292"/>
      <c r="DG79" s="292"/>
      <c r="DH79" s="292"/>
      <c r="DI79" s="292"/>
      <c r="DJ79" s="292"/>
      <c r="DK79" s="292"/>
      <c r="DL79" s="292"/>
      <c r="DM79" s="292"/>
      <c r="DN79" s="292"/>
      <c r="DO79" s="292"/>
      <c r="DP79" s="292"/>
      <c r="DQ79" s="292"/>
      <c r="DR79" s="292"/>
      <c r="DS79" s="292"/>
      <c r="DT79" s="292"/>
      <c r="DU79" s="292"/>
      <c r="DV79" s="292"/>
      <c r="DW79" s="292"/>
      <c r="DX79" s="292"/>
      <c r="DY79" s="292"/>
      <c r="DZ79" s="292"/>
      <c r="EA79" s="292"/>
      <c r="EB79" s="292"/>
      <c r="EC79" s="292"/>
      <c r="ED79" s="292"/>
      <c r="EE79" s="292"/>
      <c r="EF79" s="292"/>
      <c r="EG79" s="292"/>
      <c r="EH79" s="292"/>
      <c r="EI79" s="292"/>
      <c r="EJ79" s="292"/>
      <c r="EK79" s="292"/>
      <c r="EL79" s="292"/>
      <c r="EM79" s="292"/>
      <c r="EN79" s="292"/>
      <c r="EO79" s="292"/>
      <c r="EP79" s="292"/>
      <c r="EQ79" s="292"/>
      <c r="ER79" s="292"/>
      <c r="ES79" s="292"/>
      <c r="ET79" s="292"/>
      <c r="EU79" s="292"/>
      <c r="EV79" s="292"/>
      <c r="EW79" s="292"/>
      <c r="EX79" s="292"/>
      <c r="EY79" s="292"/>
      <c r="EZ79" s="292"/>
      <c r="FA79" s="292"/>
      <c r="FB79" s="292"/>
      <c r="FC79" s="292"/>
      <c r="FD79" s="292"/>
      <c r="FE79" s="292"/>
      <c r="FF79" s="292"/>
      <c r="FG79" s="292"/>
      <c r="FH79" s="292"/>
      <c r="FI79" s="292"/>
      <c r="FJ79" s="292"/>
      <c r="FK79" s="292"/>
      <c r="FL79" s="292"/>
      <c r="FM79" s="292"/>
      <c r="FN79" s="292"/>
      <c r="FO79" s="292"/>
      <c r="FP79" s="292"/>
      <c r="FQ79" s="292"/>
      <c r="FR79" s="292"/>
      <c r="FS79" s="292"/>
      <c r="FT79" s="292"/>
      <c r="FU79" s="292"/>
      <c r="FV79" s="292"/>
      <c r="FW79" s="292"/>
      <c r="FX79" s="292"/>
      <c r="FY79" s="292"/>
      <c r="FZ79" s="292"/>
      <c r="GA79" s="292"/>
      <c r="GB79" s="292"/>
      <c r="GC79" s="292"/>
      <c r="GD79" s="292"/>
      <c r="GE79" s="292"/>
      <c r="GF79" s="292"/>
      <c r="GG79" s="292"/>
      <c r="GH79" s="292"/>
      <c r="GI79" s="292"/>
      <c r="GJ79" s="292"/>
      <c r="GK79" s="292"/>
      <c r="GL79" s="292"/>
      <c r="GM79" s="292"/>
      <c r="GN79" s="292"/>
      <c r="GO79" s="292"/>
      <c r="GP79" s="292"/>
      <c r="GQ79" s="292"/>
      <c r="GR79" s="292"/>
      <c r="GS79" s="292"/>
      <c r="GT79" s="292"/>
      <c r="GU79" s="292"/>
      <c r="GV79" s="292"/>
      <c r="GW79" s="292"/>
      <c r="GX79" s="292"/>
      <c r="GY79" s="292"/>
      <c r="GZ79" s="292"/>
      <c r="HA79" s="292"/>
      <c r="HB79" s="292"/>
      <c r="HC79" s="292"/>
      <c r="HD79" s="292"/>
      <c r="HE79" s="292"/>
      <c r="HF79" s="292"/>
      <c r="HG79" s="292"/>
      <c r="HH79" s="292"/>
      <c r="HI79" s="292"/>
      <c r="HJ79" s="292"/>
      <c r="HK79" s="292"/>
      <c r="HL79" s="292"/>
      <c r="HM79" s="292"/>
      <c r="HN79" s="292"/>
      <c r="HO79" s="292"/>
      <c r="HP79" s="292"/>
      <c r="HQ79" s="292"/>
      <c r="HR79" s="292"/>
      <c r="HS79" s="292"/>
      <c r="HT79" s="292"/>
      <c r="HU79" s="292"/>
      <c r="HV79" s="292"/>
      <c r="HW79" s="292"/>
    </row>
    <row r="80" spans="1:231" ht="14.1" customHeight="1">
      <c r="A80" s="292"/>
      <c r="B80" s="311"/>
      <c r="C80" s="311"/>
      <c r="E80" s="329"/>
      <c r="F80" s="292"/>
      <c r="G80" s="292"/>
      <c r="H80" s="292"/>
      <c r="I80" s="292"/>
      <c r="K80" s="926"/>
      <c r="L80" s="922"/>
      <c r="M80" s="922"/>
      <c r="N80" s="922"/>
      <c r="O80" s="922"/>
      <c r="P80" s="922"/>
      <c r="Q80" s="922"/>
      <c r="R80" s="922"/>
      <c r="S80" s="922"/>
      <c r="T80" s="922"/>
      <c r="U80" s="291"/>
      <c r="V80" s="291"/>
      <c r="W80" s="291"/>
      <c r="X80" s="292"/>
      <c r="Y80" s="292"/>
      <c r="Z80" s="292"/>
      <c r="AA80" s="292"/>
      <c r="AB80" s="292"/>
      <c r="AC80" s="292"/>
      <c r="AD80" s="292"/>
      <c r="AE80" s="292"/>
      <c r="AF80" s="292"/>
      <c r="AG80" s="292"/>
      <c r="AH80" s="292"/>
      <c r="AI80" s="292"/>
      <c r="AJ80" s="292"/>
      <c r="AK80" s="292"/>
      <c r="AL80" s="292"/>
      <c r="AM80" s="292"/>
      <c r="AN80" s="292"/>
      <c r="AO80" s="292"/>
      <c r="AP80" s="292"/>
      <c r="AQ80" s="292"/>
      <c r="AR80" s="292"/>
      <c r="AS80" s="292"/>
      <c r="AT80" s="292"/>
      <c r="AU80" s="292"/>
      <c r="AV80" s="292"/>
      <c r="AW80" s="292"/>
      <c r="AX80" s="292"/>
      <c r="AY80" s="292"/>
      <c r="AZ80" s="292"/>
      <c r="BA80" s="292"/>
      <c r="BB80" s="292"/>
      <c r="BC80" s="292"/>
      <c r="BD80" s="292"/>
      <c r="BE80" s="292"/>
      <c r="BF80" s="292"/>
      <c r="BG80" s="292"/>
      <c r="BH80" s="292"/>
      <c r="BI80" s="292"/>
      <c r="BJ80" s="292"/>
      <c r="BK80" s="292"/>
      <c r="BL80" s="292"/>
      <c r="BM80" s="292"/>
      <c r="BN80" s="292"/>
      <c r="BO80" s="292"/>
      <c r="BP80" s="292"/>
      <c r="BQ80" s="292"/>
      <c r="BR80" s="292"/>
      <c r="BS80" s="292"/>
      <c r="BT80" s="292"/>
      <c r="BU80" s="292"/>
      <c r="BV80" s="292"/>
      <c r="BW80" s="292"/>
      <c r="BX80" s="292"/>
      <c r="BY80" s="292"/>
      <c r="BZ80" s="292"/>
      <c r="CA80" s="292"/>
      <c r="CB80" s="292"/>
      <c r="CC80" s="292"/>
      <c r="CD80" s="292"/>
      <c r="CE80" s="292"/>
      <c r="CF80" s="292"/>
      <c r="CG80" s="292"/>
      <c r="CH80" s="292"/>
      <c r="CI80" s="292"/>
      <c r="CJ80" s="292"/>
      <c r="CK80" s="292"/>
      <c r="CL80" s="292"/>
      <c r="CM80" s="292"/>
      <c r="CN80" s="292"/>
      <c r="CO80" s="292"/>
      <c r="CP80" s="292"/>
      <c r="CQ80" s="292"/>
      <c r="CR80" s="292"/>
      <c r="CS80" s="292"/>
      <c r="CT80" s="292"/>
      <c r="CU80" s="292"/>
      <c r="CV80" s="292"/>
      <c r="CW80" s="292"/>
      <c r="CX80" s="292"/>
      <c r="CY80" s="292"/>
      <c r="CZ80" s="292"/>
      <c r="DA80" s="292"/>
      <c r="DB80" s="292"/>
      <c r="DC80" s="292"/>
      <c r="DD80" s="292"/>
      <c r="DE80" s="292"/>
      <c r="DF80" s="292"/>
      <c r="DG80" s="292"/>
      <c r="DH80" s="292"/>
      <c r="DI80" s="292"/>
      <c r="DJ80" s="292"/>
      <c r="DK80" s="292"/>
      <c r="DL80" s="292"/>
      <c r="DM80" s="292"/>
      <c r="DN80" s="292"/>
      <c r="DO80" s="292"/>
      <c r="DP80" s="292"/>
      <c r="DQ80" s="292"/>
      <c r="DR80" s="292"/>
      <c r="DS80" s="292"/>
      <c r="DT80" s="292"/>
      <c r="DU80" s="292"/>
      <c r="DV80" s="292"/>
      <c r="DW80" s="292"/>
      <c r="DX80" s="292"/>
      <c r="DY80" s="292"/>
      <c r="DZ80" s="292"/>
      <c r="EA80" s="292"/>
      <c r="EB80" s="292"/>
      <c r="EC80" s="292"/>
      <c r="ED80" s="292"/>
      <c r="EE80" s="292"/>
      <c r="EF80" s="292"/>
      <c r="EG80" s="292"/>
      <c r="EH80" s="292"/>
      <c r="EI80" s="292"/>
      <c r="EJ80" s="292"/>
      <c r="EK80" s="292"/>
      <c r="EL80" s="292"/>
      <c r="EM80" s="292"/>
      <c r="EN80" s="292"/>
      <c r="EO80" s="292"/>
      <c r="EP80" s="292"/>
      <c r="EQ80" s="292"/>
      <c r="ER80" s="292"/>
      <c r="ES80" s="292"/>
      <c r="ET80" s="292"/>
      <c r="EU80" s="292"/>
      <c r="EV80" s="292"/>
      <c r="EW80" s="292"/>
      <c r="EX80" s="292"/>
      <c r="EY80" s="292"/>
      <c r="EZ80" s="292"/>
      <c r="FA80" s="292"/>
      <c r="FB80" s="292"/>
      <c r="FC80" s="292"/>
      <c r="FD80" s="292"/>
      <c r="FE80" s="292"/>
      <c r="FF80" s="292"/>
      <c r="FG80" s="292"/>
      <c r="FH80" s="292"/>
      <c r="FI80" s="292"/>
      <c r="FJ80" s="292"/>
      <c r="FK80" s="292"/>
      <c r="FL80" s="292"/>
      <c r="FM80" s="292"/>
      <c r="FN80" s="292"/>
      <c r="FO80" s="292"/>
      <c r="FP80" s="292"/>
      <c r="FQ80" s="292"/>
      <c r="FR80" s="292"/>
      <c r="FS80" s="292"/>
      <c r="FT80" s="292"/>
      <c r="FU80" s="292"/>
      <c r="FV80" s="292"/>
      <c r="FW80" s="292"/>
      <c r="FX80" s="292"/>
      <c r="FY80" s="292"/>
      <c r="FZ80" s="292"/>
      <c r="GA80" s="292"/>
      <c r="GB80" s="292"/>
      <c r="GC80" s="292"/>
      <c r="GD80" s="292"/>
      <c r="GE80" s="292"/>
      <c r="GF80" s="292"/>
      <c r="GG80" s="292"/>
      <c r="GH80" s="292"/>
      <c r="GI80" s="292"/>
      <c r="GJ80" s="292"/>
      <c r="GK80" s="292"/>
      <c r="GL80" s="292"/>
      <c r="GM80" s="292"/>
      <c r="GN80" s="292"/>
      <c r="GO80" s="292"/>
      <c r="GP80" s="292"/>
      <c r="GQ80" s="292"/>
      <c r="GR80" s="292"/>
      <c r="GS80" s="292"/>
      <c r="GT80" s="292"/>
      <c r="GU80" s="292"/>
      <c r="GV80" s="292"/>
      <c r="GW80" s="292"/>
      <c r="GX80" s="292"/>
      <c r="GY80" s="292"/>
      <c r="GZ80" s="292"/>
      <c r="HA80" s="292"/>
      <c r="HB80" s="292"/>
      <c r="HC80" s="292"/>
      <c r="HD80" s="292"/>
      <c r="HE80" s="292"/>
      <c r="HF80" s="292"/>
      <c r="HG80" s="292"/>
      <c r="HH80" s="292"/>
      <c r="HI80" s="292"/>
      <c r="HJ80" s="292"/>
      <c r="HK80" s="292"/>
      <c r="HL80" s="292"/>
      <c r="HM80" s="292"/>
      <c r="HN80" s="292"/>
      <c r="HO80" s="292"/>
      <c r="HP80" s="292"/>
      <c r="HQ80" s="292"/>
      <c r="HR80" s="292"/>
      <c r="HS80" s="292"/>
      <c r="HT80" s="292"/>
      <c r="HU80" s="292"/>
      <c r="HV80" s="292"/>
      <c r="HW80" s="292"/>
    </row>
    <row r="81" spans="1:231" ht="14.1" customHeight="1">
      <c r="A81" s="292"/>
      <c r="B81" s="311"/>
      <c r="C81" s="311"/>
      <c r="E81" s="329"/>
      <c r="F81" s="292"/>
      <c r="G81" s="292"/>
      <c r="H81" s="292"/>
      <c r="I81" s="292"/>
      <c r="K81" s="926"/>
      <c r="L81" s="922"/>
      <c r="M81" s="922"/>
      <c r="N81" s="922"/>
      <c r="O81" s="922"/>
      <c r="P81" s="922"/>
      <c r="Q81" s="922"/>
      <c r="R81" s="922"/>
      <c r="S81" s="922"/>
      <c r="T81" s="922"/>
      <c r="U81" s="291"/>
      <c r="V81" s="291"/>
      <c r="W81" s="291"/>
      <c r="X81" s="292"/>
      <c r="Y81" s="292"/>
      <c r="Z81" s="292"/>
      <c r="AA81" s="292"/>
      <c r="AB81" s="292"/>
      <c r="AC81" s="292"/>
      <c r="AD81" s="292"/>
      <c r="AE81" s="292"/>
      <c r="AF81" s="292"/>
      <c r="AG81" s="292"/>
      <c r="AH81" s="292"/>
      <c r="AI81" s="292"/>
      <c r="AJ81" s="292"/>
      <c r="AK81" s="292"/>
      <c r="AL81" s="292"/>
      <c r="AM81" s="292"/>
      <c r="AN81" s="292"/>
      <c r="AO81" s="292"/>
      <c r="AP81" s="292"/>
      <c r="AQ81" s="292"/>
      <c r="AR81" s="292"/>
      <c r="AS81" s="292"/>
      <c r="AT81" s="292"/>
      <c r="AU81" s="292"/>
      <c r="AV81" s="292"/>
      <c r="AW81" s="292"/>
      <c r="AX81" s="292"/>
      <c r="AY81" s="292"/>
      <c r="AZ81" s="292"/>
      <c r="BA81" s="292"/>
      <c r="BB81" s="292"/>
      <c r="BC81" s="292"/>
      <c r="BD81" s="292"/>
      <c r="BE81" s="292"/>
      <c r="BF81" s="292"/>
      <c r="BG81" s="292"/>
      <c r="BH81" s="292"/>
      <c r="BI81" s="292"/>
      <c r="BJ81" s="292"/>
      <c r="BK81" s="292"/>
      <c r="BL81" s="292"/>
      <c r="BM81" s="292"/>
      <c r="BN81" s="292"/>
      <c r="BO81" s="292"/>
      <c r="BP81" s="292"/>
      <c r="BQ81" s="292"/>
      <c r="BR81" s="292"/>
      <c r="BS81" s="292"/>
      <c r="BT81" s="292"/>
      <c r="BU81" s="292"/>
      <c r="BV81" s="292"/>
      <c r="BW81" s="292"/>
      <c r="BX81" s="292"/>
      <c r="BY81" s="292"/>
      <c r="BZ81" s="292"/>
      <c r="CA81" s="292"/>
      <c r="CB81" s="292"/>
      <c r="CC81" s="292"/>
      <c r="CD81" s="292"/>
      <c r="CE81" s="292"/>
      <c r="CF81" s="292"/>
      <c r="CG81" s="292"/>
      <c r="CH81" s="292"/>
      <c r="CI81" s="292"/>
      <c r="CJ81" s="292"/>
      <c r="CK81" s="292"/>
      <c r="CL81" s="292"/>
      <c r="CM81" s="292"/>
      <c r="CN81" s="292"/>
      <c r="CO81" s="292"/>
      <c r="CP81" s="292"/>
      <c r="CQ81" s="292"/>
      <c r="CR81" s="292"/>
      <c r="CS81" s="292"/>
      <c r="CT81" s="292"/>
      <c r="CU81" s="292"/>
      <c r="CV81" s="292"/>
      <c r="CW81" s="292"/>
      <c r="CX81" s="292"/>
      <c r="CY81" s="292"/>
      <c r="CZ81" s="292"/>
      <c r="DA81" s="292"/>
      <c r="DB81" s="292"/>
      <c r="DC81" s="292"/>
      <c r="DD81" s="292"/>
      <c r="DE81" s="292"/>
      <c r="DF81" s="292"/>
      <c r="DG81" s="292"/>
      <c r="DH81" s="292"/>
      <c r="DI81" s="292"/>
      <c r="DJ81" s="292"/>
      <c r="DK81" s="292"/>
      <c r="DL81" s="292"/>
      <c r="DM81" s="292"/>
      <c r="DN81" s="292"/>
      <c r="DO81" s="292"/>
      <c r="DP81" s="292"/>
      <c r="DQ81" s="292"/>
      <c r="DR81" s="292"/>
      <c r="DS81" s="292"/>
      <c r="DT81" s="292"/>
      <c r="DU81" s="292"/>
      <c r="DV81" s="292"/>
      <c r="DW81" s="292"/>
      <c r="DX81" s="292"/>
      <c r="DY81" s="292"/>
      <c r="DZ81" s="292"/>
      <c r="EA81" s="292"/>
      <c r="EB81" s="292"/>
      <c r="EC81" s="292"/>
      <c r="ED81" s="292"/>
      <c r="EE81" s="292"/>
      <c r="EF81" s="292"/>
      <c r="EG81" s="292"/>
      <c r="EH81" s="292"/>
      <c r="EI81" s="292"/>
      <c r="EJ81" s="292"/>
      <c r="EK81" s="292"/>
      <c r="EL81" s="292"/>
      <c r="EM81" s="292"/>
      <c r="EN81" s="292"/>
      <c r="EO81" s="292"/>
      <c r="EP81" s="292"/>
      <c r="EQ81" s="292"/>
      <c r="ER81" s="292"/>
      <c r="ES81" s="292"/>
      <c r="ET81" s="292"/>
      <c r="EU81" s="292"/>
      <c r="EV81" s="292"/>
      <c r="EW81" s="292"/>
      <c r="EX81" s="292"/>
      <c r="EY81" s="292"/>
      <c r="EZ81" s="292"/>
      <c r="FA81" s="292"/>
      <c r="FB81" s="292"/>
      <c r="FC81" s="292"/>
      <c r="FD81" s="292"/>
      <c r="FE81" s="292"/>
      <c r="FF81" s="292"/>
      <c r="FG81" s="292"/>
      <c r="FH81" s="292"/>
      <c r="FI81" s="292"/>
      <c r="FJ81" s="292"/>
      <c r="FK81" s="292"/>
      <c r="FL81" s="292"/>
      <c r="FM81" s="292"/>
      <c r="FN81" s="292"/>
      <c r="FO81" s="292"/>
      <c r="FP81" s="292"/>
      <c r="FQ81" s="292"/>
      <c r="FR81" s="292"/>
      <c r="FS81" s="292"/>
      <c r="FT81" s="292"/>
      <c r="FU81" s="292"/>
      <c r="FV81" s="292"/>
      <c r="FW81" s="292"/>
      <c r="FX81" s="292"/>
      <c r="FY81" s="292"/>
      <c r="FZ81" s="292"/>
      <c r="GA81" s="292"/>
      <c r="GB81" s="292"/>
      <c r="GC81" s="292"/>
      <c r="GD81" s="292"/>
      <c r="GE81" s="292"/>
      <c r="GF81" s="292"/>
      <c r="GG81" s="292"/>
      <c r="GH81" s="292"/>
      <c r="GI81" s="292"/>
      <c r="GJ81" s="292"/>
      <c r="GK81" s="292"/>
      <c r="GL81" s="292"/>
      <c r="GM81" s="292"/>
      <c r="GN81" s="292"/>
      <c r="GO81" s="292"/>
      <c r="GP81" s="292"/>
      <c r="GQ81" s="292"/>
      <c r="GR81" s="292"/>
      <c r="GS81" s="292"/>
      <c r="GT81" s="292"/>
      <c r="GU81" s="292"/>
      <c r="GV81" s="292"/>
      <c r="GW81" s="292"/>
      <c r="GX81" s="292"/>
      <c r="GY81" s="292"/>
      <c r="GZ81" s="292"/>
      <c r="HA81" s="292"/>
      <c r="HB81" s="292"/>
      <c r="HC81" s="292"/>
      <c r="HD81" s="292"/>
      <c r="HE81" s="292"/>
      <c r="HF81" s="292"/>
      <c r="HG81" s="292"/>
      <c r="HH81" s="292"/>
      <c r="HI81" s="292"/>
      <c r="HJ81" s="292"/>
      <c r="HK81" s="292"/>
      <c r="HL81" s="292"/>
      <c r="HM81" s="292"/>
      <c r="HN81" s="292"/>
      <c r="HO81" s="292"/>
      <c r="HP81" s="292"/>
      <c r="HQ81" s="292"/>
      <c r="HR81" s="292"/>
      <c r="HS81" s="292"/>
      <c r="HT81" s="292"/>
      <c r="HU81" s="292"/>
      <c r="HV81" s="292"/>
      <c r="HW81" s="292"/>
    </row>
    <row r="82" spans="1:231" ht="14.1" customHeight="1">
      <c r="A82" s="292"/>
      <c r="B82" s="311"/>
      <c r="C82" s="311"/>
      <c r="E82" s="329"/>
      <c r="F82" s="292"/>
      <c r="G82" s="292"/>
      <c r="H82" s="292"/>
      <c r="I82" s="292"/>
      <c r="K82" s="926"/>
      <c r="L82" s="922"/>
      <c r="M82" s="922"/>
      <c r="N82" s="922"/>
      <c r="O82" s="922"/>
      <c r="P82" s="922"/>
      <c r="Q82" s="922"/>
      <c r="R82" s="922"/>
      <c r="S82" s="922"/>
      <c r="T82" s="922"/>
      <c r="U82" s="291"/>
      <c r="V82" s="291"/>
      <c r="W82" s="291"/>
      <c r="X82" s="292"/>
      <c r="Y82" s="292"/>
      <c r="Z82" s="292"/>
      <c r="AA82" s="292"/>
      <c r="AB82" s="292"/>
      <c r="AC82" s="292"/>
      <c r="AD82" s="292"/>
      <c r="AE82" s="292"/>
      <c r="AF82" s="292"/>
      <c r="AG82" s="292"/>
      <c r="AH82" s="292"/>
      <c r="AI82" s="292"/>
      <c r="AJ82" s="292"/>
      <c r="AK82" s="292"/>
      <c r="AL82" s="292"/>
      <c r="AM82" s="292"/>
      <c r="AN82" s="292"/>
      <c r="AO82" s="292"/>
      <c r="AP82" s="292"/>
      <c r="AQ82" s="292"/>
      <c r="AR82" s="292"/>
      <c r="AS82" s="292"/>
      <c r="AT82" s="292"/>
      <c r="AU82" s="292"/>
      <c r="AV82" s="292"/>
      <c r="AW82" s="292"/>
      <c r="AX82" s="292"/>
      <c r="AY82" s="292"/>
      <c r="AZ82" s="292"/>
      <c r="BA82" s="292"/>
      <c r="BB82" s="292"/>
      <c r="BC82" s="292"/>
      <c r="BD82" s="292"/>
      <c r="BE82" s="292"/>
      <c r="BF82" s="292"/>
      <c r="BG82" s="292"/>
      <c r="BH82" s="292"/>
      <c r="BI82" s="292"/>
      <c r="BJ82" s="292"/>
      <c r="BK82" s="292"/>
      <c r="BL82" s="292"/>
      <c r="BM82" s="292"/>
      <c r="BN82" s="292"/>
      <c r="BO82" s="292"/>
      <c r="BP82" s="292"/>
      <c r="BQ82" s="292"/>
      <c r="BR82" s="292"/>
      <c r="BS82" s="292"/>
      <c r="BT82" s="292"/>
      <c r="BU82" s="292"/>
      <c r="BV82" s="292"/>
      <c r="BW82" s="292"/>
      <c r="BX82" s="292"/>
      <c r="BY82" s="292"/>
      <c r="BZ82" s="292"/>
      <c r="CA82" s="292"/>
      <c r="CB82" s="292"/>
      <c r="CC82" s="292"/>
      <c r="CD82" s="292"/>
      <c r="CE82" s="292"/>
      <c r="CF82" s="292"/>
      <c r="CG82" s="292"/>
      <c r="CH82" s="292"/>
      <c r="CI82" s="292"/>
      <c r="CJ82" s="292"/>
      <c r="CK82" s="292"/>
      <c r="CL82" s="292"/>
      <c r="CM82" s="292"/>
      <c r="CN82" s="292"/>
      <c r="CO82" s="292"/>
      <c r="CP82" s="292"/>
      <c r="CQ82" s="292"/>
      <c r="CR82" s="292"/>
      <c r="CS82" s="292"/>
      <c r="CT82" s="292"/>
      <c r="CU82" s="292"/>
      <c r="CV82" s="292"/>
      <c r="CW82" s="292"/>
      <c r="CX82" s="292"/>
      <c r="CY82" s="292"/>
      <c r="CZ82" s="292"/>
      <c r="DA82" s="292"/>
      <c r="DB82" s="292"/>
      <c r="DC82" s="292"/>
      <c r="DD82" s="292"/>
      <c r="DE82" s="292"/>
      <c r="DF82" s="292"/>
      <c r="DG82" s="292"/>
      <c r="DH82" s="292"/>
      <c r="DI82" s="292"/>
      <c r="DJ82" s="292"/>
      <c r="DK82" s="292"/>
      <c r="DL82" s="292"/>
      <c r="DM82" s="292"/>
      <c r="DN82" s="292"/>
      <c r="DO82" s="292"/>
      <c r="DP82" s="292"/>
      <c r="DQ82" s="292"/>
      <c r="DR82" s="292"/>
      <c r="DS82" s="292"/>
      <c r="DT82" s="292"/>
      <c r="DU82" s="292"/>
      <c r="DV82" s="292"/>
      <c r="DW82" s="292"/>
      <c r="DX82" s="292"/>
      <c r="DY82" s="292"/>
      <c r="DZ82" s="292"/>
      <c r="EA82" s="292"/>
      <c r="EB82" s="292"/>
      <c r="EC82" s="292"/>
      <c r="ED82" s="292"/>
      <c r="EE82" s="292"/>
      <c r="EF82" s="292"/>
      <c r="EG82" s="292"/>
      <c r="EH82" s="292"/>
      <c r="EI82" s="292"/>
      <c r="EJ82" s="292"/>
      <c r="EK82" s="292"/>
      <c r="EL82" s="292"/>
      <c r="EM82" s="292"/>
      <c r="EN82" s="292"/>
      <c r="EO82" s="292"/>
      <c r="EP82" s="292"/>
      <c r="EQ82" s="292"/>
      <c r="ER82" s="292"/>
      <c r="ES82" s="292"/>
      <c r="ET82" s="292"/>
      <c r="EU82" s="292"/>
      <c r="EV82" s="292"/>
      <c r="EW82" s="292"/>
      <c r="EX82" s="292"/>
      <c r="EY82" s="292"/>
      <c r="EZ82" s="292"/>
      <c r="FA82" s="292"/>
      <c r="FB82" s="292"/>
      <c r="FC82" s="292"/>
      <c r="FD82" s="292"/>
      <c r="FE82" s="292"/>
      <c r="FF82" s="292"/>
      <c r="FG82" s="292"/>
      <c r="FH82" s="292"/>
      <c r="FI82" s="292"/>
      <c r="FJ82" s="292"/>
      <c r="FK82" s="292"/>
      <c r="FL82" s="292"/>
      <c r="FM82" s="292"/>
      <c r="FN82" s="292"/>
      <c r="FO82" s="292"/>
      <c r="FP82" s="292"/>
      <c r="FQ82" s="292"/>
      <c r="FR82" s="292"/>
      <c r="FS82" s="292"/>
      <c r="FT82" s="292"/>
      <c r="FU82" s="292"/>
      <c r="FV82" s="292"/>
      <c r="FW82" s="292"/>
      <c r="FX82" s="292"/>
      <c r="FY82" s="292"/>
      <c r="FZ82" s="292"/>
      <c r="GA82" s="292"/>
      <c r="GB82" s="292"/>
      <c r="GC82" s="292"/>
      <c r="GD82" s="292"/>
      <c r="GE82" s="292"/>
      <c r="GF82" s="292"/>
      <c r="GG82" s="292"/>
      <c r="GH82" s="292"/>
      <c r="GI82" s="292"/>
      <c r="GJ82" s="292"/>
      <c r="GK82" s="292"/>
      <c r="GL82" s="292"/>
      <c r="GM82" s="292"/>
      <c r="GN82" s="292"/>
      <c r="GO82" s="292"/>
      <c r="GP82" s="292"/>
      <c r="GQ82" s="292"/>
      <c r="GR82" s="292"/>
      <c r="GS82" s="292"/>
      <c r="GT82" s="292"/>
      <c r="GU82" s="292"/>
      <c r="GV82" s="292"/>
      <c r="GW82" s="292"/>
      <c r="GX82" s="292"/>
      <c r="GY82" s="292"/>
      <c r="GZ82" s="292"/>
      <c r="HA82" s="292"/>
      <c r="HB82" s="292"/>
      <c r="HC82" s="292"/>
      <c r="HD82" s="292"/>
      <c r="HE82" s="292"/>
      <c r="HF82" s="292"/>
      <c r="HG82" s="292"/>
      <c r="HH82" s="292"/>
      <c r="HI82" s="292"/>
      <c r="HJ82" s="292"/>
      <c r="HK82" s="292"/>
      <c r="HL82" s="292"/>
      <c r="HM82" s="292"/>
      <c r="HN82" s="292"/>
      <c r="HO82" s="292"/>
      <c r="HP82" s="292"/>
      <c r="HQ82" s="292"/>
      <c r="HR82" s="292"/>
      <c r="HS82" s="292"/>
      <c r="HT82" s="292"/>
      <c r="HU82" s="292"/>
      <c r="HV82" s="292"/>
      <c r="HW82" s="292"/>
    </row>
    <row r="83" spans="1:231" ht="14.1" customHeight="1">
      <c r="A83" s="292"/>
      <c r="B83" s="311"/>
      <c r="C83" s="311"/>
      <c r="E83" s="329"/>
      <c r="F83" s="292"/>
      <c r="G83" s="292"/>
      <c r="H83" s="292"/>
      <c r="I83" s="292"/>
      <c r="K83" s="926"/>
      <c r="L83" s="922"/>
      <c r="M83" s="922"/>
      <c r="N83" s="922"/>
      <c r="O83" s="922"/>
      <c r="P83" s="922"/>
      <c r="Q83" s="922"/>
      <c r="R83" s="922"/>
      <c r="S83" s="922"/>
      <c r="T83" s="922"/>
      <c r="U83" s="291"/>
      <c r="V83" s="291"/>
      <c r="W83" s="291"/>
      <c r="X83" s="292"/>
      <c r="Y83" s="292"/>
      <c r="Z83" s="292"/>
      <c r="AA83" s="292"/>
      <c r="AB83" s="292"/>
      <c r="AC83" s="292"/>
      <c r="AD83" s="292"/>
      <c r="AE83" s="292"/>
      <c r="AF83" s="292"/>
      <c r="AG83" s="292"/>
      <c r="AH83" s="292"/>
      <c r="AI83" s="292"/>
      <c r="AJ83" s="292"/>
      <c r="AK83" s="292"/>
      <c r="AL83" s="292"/>
      <c r="AM83" s="292"/>
      <c r="AN83" s="292"/>
      <c r="AO83" s="292"/>
      <c r="AP83" s="292"/>
      <c r="AQ83" s="292"/>
      <c r="AR83" s="292"/>
      <c r="AS83" s="292"/>
      <c r="AT83" s="292"/>
      <c r="AU83" s="292"/>
      <c r="AV83" s="292"/>
      <c r="AW83" s="292"/>
      <c r="AX83" s="292"/>
      <c r="AY83" s="292"/>
      <c r="AZ83" s="292"/>
      <c r="BA83" s="292"/>
      <c r="BB83" s="292"/>
      <c r="BC83" s="292"/>
      <c r="BD83" s="292"/>
      <c r="BE83" s="292"/>
      <c r="BF83" s="292"/>
      <c r="BG83" s="292"/>
      <c r="BH83" s="292"/>
      <c r="BI83" s="292"/>
      <c r="BJ83" s="292"/>
      <c r="BK83" s="292"/>
      <c r="BL83" s="292"/>
      <c r="BM83" s="292"/>
      <c r="BN83" s="292"/>
      <c r="BO83" s="292"/>
      <c r="BP83" s="292"/>
      <c r="BQ83" s="292"/>
      <c r="BR83" s="292"/>
      <c r="BS83" s="292"/>
      <c r="BT83" s="292"/>
      <c r="BU83" s="292"/>
      <c r="BV83" s="292"/>
      <c r="BW83" s="292"/>
      <c r="BX83" s="292"/>
      <c r="BY83" s="292"/>
      <c r="BZ83" s="292"/>
      <c r="CA83" s="292"/>
      <c r="CB83" s="292"/>
      <c r="CC83" s="292"/>
      <c r="CD83" s="292"/>
      <c r="CE83" s="292"/>
      <c r="CF83" s="292"/>
      <c r="CG83" s="292"/>
      <c r="CH83" s="292"/>
      <c r="CI83" s="292"/>
      <c r="CJ83" s="292"/>
      <c r="CK83" s="292"/>
      <c r="CL83" s="292"/>
      <c r="CM83" s="292"/>
      <c r="CN83" s="292"/>
      <c r="CO83" s="292"/>
      <c r="CP83" s="292"/>
      <c r="CQ83" s="292"/>
      <c r="CR83" s="292"/>
      <c r="CS83" s="292"/>
      <c r="CT83" s="292"/>
      <c r="CU83" s="292"/>
      <c r="CV83" s="292"/>
      <c r="CW83" s="292"/>
      <c r="CX83" s="292"/>
      <c r="CY83" s="292"/>
      <c r="CZ83" s="292"/>
      <c r="DA83" s="292"/>
      <c r="DB83" s="292"/>
      <c r="DC83" s="292"/>
      <c r="DD83" s="292"/>
      <c r="DE83" s="292"/>
      <c r="DF83" s="292"/>
      <c r="DG83" s="292"/>
      <c r="DH83" s="292"/>
      <c r="DI83" s="292"/>
      <c r="DJ83" s="292"/>
      <c r="DK83" s="292"/>
      <c r="DL83" s="292"/>
      <c r="DM83" s="292"/>
      <c r="DN83" s="292"/>
      <c r="DO83" s="292"/>
      <c r="DP83" s="292"/>
      <c r="DQ83" s="292"/>
      <c r="DR83" s="292"/>
      <c r="DS83" s="292"/>
      <c r="DT83" s="292"/>
      <c r="DU83" s="292"/>
      <c r="DV83" s="292"/>
      <c r="DW83" s="292"/>
      <c r="DX83" s="292"/>
      <c r="DY83" s="292"/>
      <c r="DZ83" s="292"/>
      <c r="EA83" s="292"/>
      <c r="EB83" s="292"/>
      <c r="EC83" s="292"/>
      <c r="ED83" s="292"/>
      <c r="EE83" s="292"/>
      <c r="EF83" s="292"/>
      <c r="EG83" s="292"/>
      <c r="EH83" s="292"/>
      <c r="EI83" s="292"/>
      <c r="EJ83" s="292"/>
      <c r="EK83" s="292"/>
      <c r="EL83" s="292"/>
      <c r="EM83" s="292"/>
      <c r="EN83" s="292"/>
      <c r="EO83" s="292"/>
      <c r="EP83" s="292"/>
      <c r="EQ83" s="292"/>
      <c r="ER83" s="292"/>
      <c r="ES83" s="292"/>
      <c r="ET83" s="292"/>
      <c r="EU83" s="292"/>
      <c r="EV83" s="292"/>
      <c r="EW83" s="292"/>
      <c r="EX83" s="292"/>
      <c r="EY83" s="292"/>
      <c r="EZ83" s="292"/>
      <c r="FA83" s="292"/>
      <c r="FB83" s="292"/>
      <c r="FC83" s="292"/>
      <c r="FD83" s="292"/>
      <c r="FE83" s="292"/>
      <c r="FF83" s="292"/>
      <c r="FG83" s="292"/>
      <c r="FH83" s="292"/>
      <c r="FI83" s="292"/>
      <c r="FJ83" s="292"/>
      <c r="FK83" s="292"/>
      <c r="FL83" s="292"/>
      <c r="FM83" s="292"/>
      <c r="FN83" s="292"/>
      <c r="FO83" s="292"/>
      <c r="FP83" s="292"/>
      <c r="FQ83" s="292"/>
      <c r="FR83" s="292"/>
      <c r="FS83" s="292"/>
      <c r="FT83" s="292"/>
      <c r="FU83" s="292"/>
      <c r="FV83" s="292"/>
      <c r="FW83" s="292"/>
      <c r="FX83" s="292"/>
      <c r="FY83" s="292"/>
      <c r="FZ83" s="292"/>
      <c r="GA83" s="292"/>
      <c r="GB83" s="292"/>
      <c r="GC83" s="292"/>
      <c r="GD83" s="292"/>
      <c r="GE83" s="292"/>
      <c r="GF83" s="292"/>
      <c r="GG83" s="292"/>
      <c r="GH83" s="292"/>
      <c r="GI83" s="292"/>
      <c r="GJ83" s="292"/>
      <c r="GK83" s="292"/>
      <c r="GL83" s="292"/>
      <c r="GM83" s="292"/>
      <c r="GN83" s="292"/>
      <c r="GO83" s="292"/>
      <c r="GP83" s="292"/>
      <c r="GQ83" s="292"/>
      <c r="GR83" s="292"/>
      <c r="GS83" s="292"/>
      <c r="GT83" s="292"/>
      <c r="GU83" s="292"/>
      <c r="GV83" s="292"/>
      <c r="GW83" s="292"/>
      <c r="GX83" s="292"/>
      <c r="GY83" s="292"/>
      <c r="GZ83" s="292"/>
      <c r="HA83" s="292"/>
      <c r="HB83" s="292"/>
      <c r="HC83" s="292"/>
      <c r="HD83" s="292"/>
      <c r="HE83" s="292"/>
      <c r="HF83" s="292"/>
      <c r="HG83" s="292"/>
      <c r="HH83" s="292"/>
      <c r="HI83" s="292"/>
      <c r="HJ83" s="292"/>
      <c r="HK83" s="292"/>
      <c r="HL83" s="292"/>
      <c r="HM83" s="292"/>
      <c r="HN83" s="292"/>
      <c r="HO83" s="292"/>
      <c r="HP83" s="292"/>
      <c r="HQ83" s="292"/>
      <c r="HR83" s="292"/>
      <c r="HS83" s="292"/>
      <c r="HT83" s="292"/>
      <c r="HU83" s="292"/>
      <c r="HV83" s="292"/>
      <c r="HW83" s="292"/>
    </row>
    <row r="84" spans="1:231" ht="14.1" customHeight="1">
      <c r="A84" s="292"/>
      <c r="B84" s="311"/>
      <c r="C84" s="311"/>
      <c r="E84" s="329"/>
      <c r="F84" s="292"/>
      <c r="G84" s="292"/>
      <c r="H84" s="292"/>
      <c r="I84" s="292"/>
      <c r="K84" s="926"/>
      <c r="L84" s="922"/>
      <c r="M84" s="922"/>
      <c r="N84" s="922"/>
      <c r="O84" s="922"/>
      <c r="P84" s="922"/>
      <c r="Q84" s="922"/>
      <c r="R84" s="922"/>
      <c r="S84" s="922"/>
      <c r="T84" s="922"/>
      <c r="U84" s="291"/>
      <c r="V84" s="291"/>
      <c r="W84" s="291"/>
      <c r="X84" s="292"/>
      <c r="Y84" s="292"/>
      <c r="Z84" s="292"/>
      <c r="AA84" s="292"/>
      <c r="AB84" s="292"/>
      <c r="AC84" s="292"/>
      <c r="AD84" s="292"/>
      <c r="AE84" s="292"/>
      <c r="AF84" s="292"/>
      <c r="AG84" s="292"/>
      <c r="AH84" s="292"/>
      <c r="AI84" s="292"/>
      <c r="AJ84" s="292"/>
      <c r="AK84" s="292"/>
      <c r="AL84" s="292"/>
      <c r="AM84" s="292"/>
      <c r="AN84" s="292"/>
      <c r="AO84" s="292"/>
      <c r="AP84" s="292"/>
      <c r="AQ84" s="292"/>
      <c r="AR84" s="292"/>
      <c r="AS84" s="292"/>
      <c r="AT84" s="292"/>
      <c r="AU84" s="292"/>
      <c r="AV84" s="292"/>
      <c r="AW84" s="292"/>
      <c r="AX84" s="292"/>
      <c r="AY84" s="292"/>
      <c r="AZ84" s="292"/>
      <c r="BA84" s="292"/>
      <c r="BB84" s="292"/>
      <c r="BC84" s="292"/>
      <c r="BD84" s="292"/>
      <c r="BE84" s="292"/>
      <c r="BF84" s="292"/>
      <c r="BG84" s="292"/>
      <c r="BH84" s="292"/>
      <c r="BI84" s="292"/>
      <c r="BJ84" s="292"/>
      <c r="BK84" s="292"/>
      <c r="BL84" s="292"/>
      <c r="BM84" s="292"/>
      <c r="BN84" s="292"/>
      <c r="BO84" s="292"/>
      <c r="BP84" s="292"/>
      <c r="BQ84" s="292"/>
      <c r="BR84" s="292"/>
      <c r="BS84" s="292"/>
      <c r="BT84" s="292"/>
      <c r="BU84" s="292"/>
      <c r="BV84" s="292"/>
      <c r="BW84" s="292"/>
      <c r="BX84" s="292"/>
      <c r="BY84" s="292"/>
      <c r="BZ84" s="292"/>
      <c r="CA84" s="292"/>
      <c r="CB84" s="292"/>
      <c r="CC84" s="292"/>
      <c r="CD84" s="292"/>
      <c r="CE84" s="292"/>
      <c r="CF84" s="292"/>
      <c r="CG84" s="292"/>
      <c r="CH84" s="292"/>
      <c r="CI84" s="292"/>
      <c r="CJ84" s="292"/>
      <c r="CK84" s="292"/>
      <c r="CL84" s="292"/>
      <c r="CM84" s="292"/>
      <c r="CN84" s="292"/>
      <c r="CO84" s="292"/>
      <c r="CP84" s="292"/>
      <c r="CQ84" s="292"/>
      <c r="CR84" s="292"/>
      <c r="CS84" s="292"/>
      <c r="CT84" s="292"/>
      <c r="CU84" s="292"/>
      <c r="CV84" s="292"/>
      <c r="CW84" s="292"/>
      <c r="CX84" s="292"/>
      <c r="CY84" s="292"/>
      <c r="CZ84" s="292"/>
      <c r="DA84" s="292"/>
      <c r="DB84" s="292"/>
      <c r="DC84" s="292"/>
      <c r="DD84" s="292"/>
      <c r="DE84" s="292"/>
      <c r="DF84" s="292"/>
      <c r="DG84" s="292"/>
      <c r="DH84" s="292"/>
      <c r="DI84" s="292"/>
      <c r="DJ84" s="292"/>
      <c r="DK84" s="292"/>
      <c r="DL84" s="292"/>
      <c r="DM84" s="292"/>
      <c r="DN84" s="292"/>
      <c r="DO84" s="292"/>
      <c r="DP84" s="292"/>
      <c r="DQ84" s="292"/>
      <c r="DR84" s="292"/>
      <c r="DS84" s="292"/>
      <c r="DT84" s="292"/>
      <c r="DU84" s="292"/>
      <c r="DV84" s="292"/>
      <c r="DW84" s="292"/>
      <c r="DX84" s="292"/>
      <c r="DY84" s="292"/>
      <c r="DZ84" s="292"/>
      <c r="EA84" s="292"/>
      <c r="EB84" s="292"/>
      <c r="EC84" s="292"/>
      <c r="ED84" s="292"/>
      <c r="EE84" s="292"/>
      <c r="EF84" s="292"/>
      <c r="EG84" s="292"/>
      <c r="EH84" s="292"/>
      <c r="EI84" s="292"/>
      <c r="EJ84" s="292"/>
      <c r="EK84" s="292"/>
      <c r="EL84" s="292"/>
      <c r="EM84" s="292"/>
      <c r="EN84" s="292"/>
      <c r="EO84" s="292"/>
      <c r="EP84" s="292"/>
      <c r="EQ84" s="292"/>
      <c r="ER84" s="292"/>
      <c r="ES84" s="292"/>
      <c r="ET84" s="292"/>
      <c r="EU84" s="292"/>
      <c r="EV84" s="292"/>
      <c r="EW84" s="292"/>
      <c r="EX84" s="292"/>
      <c r="EY84" s="292"/>
      <c r="EZ84" s="292"/>
      <c r="FA84" s="292"/>
      <c r="FB84" s="292"/>
      <c r="FC84" s="292"/>
      <c r="FD84" s="292"/>
      <c r="FE84" s="292"/>
      <c r="FF84" s="292"/>
      <c r="FG84" s="292"/>
      <c r="FH84" s="292"/>
      <c r="FI84" s="292"/>
      <c r="FJ84" s="292"/>
      <c r="FK84" s="292"/>
      <c r="FL84" s="292"/>
      <c r="FM84" s="292"/>
      <c r="FN84" s="292"/>
      <c r="FO84" s="292"/>
      <c r="FP84" s="292"/>
      <c r="FQ84" s="292"/>
      <c r="FR84" s="292"/>
      <c r="FS84" s="292"/>
      <c r="FT84" s="292"/>
      <c r="FU84" s="292"/>
      <c r="FV84" s="292"/>
      <c r="FW84" s="292"/>
      <c r="FX84" s="292"/>
      <c r="FY84" s="292"/>
      <c r="FZ84" s="292"/>
      <c r="GA84" s="292"/>
      <c r="GB84" s="292"/>
      <c r="GC84" s="292"/>
      <c r="GD84" s="292"/>
      <c r="GE84" s="292"/>
      <c r="GF84" s="292"/>
      <c r="GG84" s="292"/>
      <c r="GH84" s="292"/>
      <c r="GI84" s="292"/>
      <c r="GJ84" s="292"/>
      <c r="GK84" s="292"/>
      <c r="GL84" s="292"/>
      <c r="GM84" s="292"/>
      <c r="GN84" s="292"/>
      <c r="GO84" s="292"/>
      <c r="GP84" s="292"/>
      <c r="GQ84" s="292"/>
      <c r="GR84" s="292"/>
      <c r="GS84" s="292"/>
      <c r="GT84" s="292"/>
      <c r="GU84" s="292"/>
      <c r="GV84" s="292"/>
      <c r="GW84" s="292"/>
      <c r="GX84" s="292"/>
      <c r="GY84" s="292"/>
      <c r="GZ84" s="292"/>
      <c r="HA84" s="292"/>
      <c r="HB84" s="292"/>
      <c r="HC84" s="292"/>
      <c r="HD84" s="292"/>
      <c r="HE84" s="292"/>
      <c r="HF84" s="292"/>
      <c r="HG84" s="292"/>
      <c r="HH84" s="292"/>
      <c r="HI84" s="292"/>
      <c r="HJ84" s="292"/>
      <c r="HK84" s="292"/>
      <c r="HL84" s="292"/>
      <c r="HM84" s="292"/>
      <c r="HN84" s="292"/>
      <c r="HO84" s="292"/>
      <c r="HP84" s="292"/>
      <c r="HQ84" s="292"/>
      <c r="HR84" s="292"/>
      <c r="HS84" s="292"/>
      <c r="HT84" s="292"/>
      <c r="HU84" s="292"/>
      <c r="HV84" s="292"/>
      <c r="HW84" s="292"/>
    </row>
    <row r="85" spans="1:231" ht="14.1" customHeight="1">
      <c r="A85" s="292"/>
      <c r="B85" s="311"/>
      <c r="C85" s="311"/>
      <c r="E85" s="329"/>
      <c r="F85" s="292"/>
      <c r="G85" s="292"/>
      <c r="H85" s="292"/>
      <c r="I85" s="292"/>
      <c r="K85" s="926"/>
      <c r="L85" s="922"/>
      <c r="M85" s="922"/>
      <c r="N85" s="922"/>
      <c r="O85" s="922"/>
      <c r="P85" s="922"/>
      <c r="Q85" s="922"/>
      <c r="R85" s="922"/>
      <c r="S85" s="922"/>
      <c r="T85" s="922"/>
      <c r="U85" s="291"/>
      <c r="V85" s="291"/>
      <c r="W85" s="291"/>
      <c r="X85" s="292"/>
      <c r="Y85" s="292"/>
      <c r="Z85" s="292"/>
      <c r="AA85" s="292"/>
      <c r="AB85" s="292"/>
      <c r="AC85" s="292"/>
      <c r="AD85" s="292"/>
      <c r="AE85" s="292"/>
      <c r="AF85" s="292"/>
      <c r="AG85" s="292"/>
      <c r="AH85" s="292"/>
      <c r="AI85" s="292"/>
      <c r="AJ85" s="292"/>
      <c r="AK85" s="292"/>
      <c r="AL85" s="292"/>
      <c r="AM85" s="292"/>
      <c r="AN85" s="292"/>
      <c r="AO85" s="292"/>
      <c r="AP85" s="292"/>
      <c r="AQ85" s="292"/>
      <c r="AR85" s="292"/>
      <c r="AS85" s="292"/>
      <c r="AT85" s="292"/>
      <c r="AU85" s="292"/>
      <c r="AV85" s="292"/>
      <c r="AW85" s="292"/>
      <c r="AX85" s="292"/>
      <c r="AY85" s="292"/>
      <c r="AZ85" s="292"/>
      <c r="BA85" s="292"/>
      <c r="BB85" s="292"/>
      <c r="BC85" s="292"/>
      <c r="BD85" s="292"/>
      <c r="BE85" s="292"/>
      <c r="BF85" s="292"/>
      <c r="BG85" s="292"/>
      <c r="BH85" s="292"/>
      <c r="BI85" s="292"/>
      <c r="BJ85" s="292"/>
      <c r="BK85" s="292"/>
      <c r="BL85" s="292"/>
      <c r="BM85" s="292"/>
      <c r="BN85" s="292"/>
      <c r="BO85" s="292"/>
      <c r="BP85" s="292"/>
      <c r="BQ85" s="292"/>
      <c r="BR85" s="292"/>
      <c r="BS85" s="292"/>
      <c r="BT85" s="292"/>
      <c r="BU85" s="292"/>
      <c r="BV85" s="292"/>
      <c r="BW85" s="292"/>
      <c r="BX85" s="292"/>
      <c r="BY85" s="292"/>
      <c r="BZ85" s="292"/>
      <c r="CA85" s="292"/>
      <c r="CB85" s="292"/>
      <c r="CC85" s="292"/>
      <c r="CD85" s="292"/>
      <c r="CE85" s="292"/>
      <c r="CF85" s="292"/>
      <c r="CG85" s="292"/>
      <c r="CH85" s="292"/>
      <c r="CI85" s="292"/>
      <c r="CJ85" s="292"/>
      <c r="CK85" s="292"/>
      <c r="CL85" s="292"/>
      <c r="CM85" s="292"/>
      <c r="CN85" s="292"/>
      <c r="CO85" s="292"/>
      <c r="CP85" s="292"/>
      <c r="CQ85" s="292"/>
      <c r="CR85" s="292"/>
      <c r="CS85" s="292"/>
      <c r="CT85" s="292"/>
      <c r="CU85" s="292"/>
      <c r="CV85" s="292"/>
      <c r="CW85" s="292"/>
      <c r="CX85" s="292"/>
      <c r="CY85" s="292"/>
      <c r="CZ85" s="292"/>
      <c r="DA85" s="292"/>
      <c r="DB85" s="292"/>
      <c r="DC85" s="292"/>
      <c r="DD85" s="292"/>
      <c r="DE85" s="292"/>
      <c r="DF85" s="292"/>
      <c r="DG85" s="292"/>
      <c r="DH85" s="292"/>
      <c r="DI85" s="292"/>
      <c r="DJ85" s="292"/>
      <c r="DK85" s="292"/>
      <c r="DL85" s="292"/>
      <c r="DM85" s="292"/>
      <c r="DN85" s="292"/>
      <c r="DO85" s="292"/>
      <c r="DP85" s="292"/>
      <c r="DQ85" s="292"/>
      <c r="DR85" s="292"/>
      <c r="DS85" s="292"/>
      <c r="DT85" s="292"/>
      <c r="DU85" s="292"/>
      <c r="DV85" s="292"/>
      <c r="DW85" s="292"/>
      <c r="DX85" s="292"/>
      <c r="DY85" s="292"/>
      <c r="DZ85" s="292"/>
      <c r="EA85" s="292"/>
      <c r="EB85" s="292"/>
      <c r="EC85" s="292"/>
      <c r="ED85" s="292"/>
      <c r="EE85" s="292"/>
      <c r="EF85" s="292"/>
      <c r="EG85" s="292"/>
      <c r="EH85" s="292"/>
      <c r="EI85" s="292"/>
      <c r="EJ85" s="292"/>
      <c r="EK85" s="292"/>
      <c r="EL85" s="292"/>
      <c r="EM85" s="292"/>
      <c r="EN85" s="292"/>
      <c r="EO85" s="292"/>
      <c r="EP85" s="292"/>
      <c r="EQ85" s="292"/>
      <c r="ER85" s="292"/>
      <c r="ES85" s="292"/>
      <c r="ET85" s="292"/>
      <c r="EU85" s="292"/>
      <c r="EV85" s="292"/>
      <c r="EW85" s="292"/>
      <c r="EX85" s="292"/>
      <c r="EY85" s="292"/>
      <c r="EZ85" s="292"/>
      <c r="FA85" s="292"/>
      <c r="FB85" s="292"/>
      <c r="FC85" s="292"/>
      <c r="FD85" s="292"/>
      <c r="FE85" s="292"/>
      <c r="FF85" s="292"/>
      <c r="FG85" s="292"/>
      <c r="FH85" s="292"/>
      <c r="FI85" s="292"/>
      <c r="FJ85" s="292"/>
      <c r="FK85" s="292"/>
      <c r="FL85" s="292"/>
      <c r="FM85" s="292"/>
      <c r="FN85" s="292"/>
      <c r="FO85" s="292"/>
      <c r="FP85" s="292"/>
      <c r="FQ85" s="292"/>
      <c r="FR85" s="292"/>
      <c r="FS85" s="292"/>
      <c r="FT85" s="292"/>
      <c r="FU85" s="292"/>
      <c r="FV85" s="292"/>
      <c r="FW85" s="292"/>
      <c r="FX85" s="292"/>
      <c r="FY85" s="292"/>
      <c r="FZ85" s="292"/>
      <c r="GA85" s="292"/>
      <c r="GB85" s="292"/>
      <c r="GC85" s="292"/>
      <c r="GD85" s="292"/>
      <c r="GE85" s="292"/>
      <c r="GF85" s="292"/>
      <c r="GG85" s="292"/>
      <c r="GH85" s="292"/>
      <c r="GI85" s="292"/>
      <c r="GJ85" s="292"/>
      <c r="GK85" s="292"/>
      <c r="GL85" s="292"/>
      <c r="GM85" s="292"/>
      <c r="GN85" s="292"/>
      <c r="GO85" s="292"/>
      <c r="GP85" s="292"/>
      <c r="GQ85" s="292"/>
      <c r="GR85" s="292"/>
      <c r="GS85" s="292"/>
      <c r="GT85" s="292"/>
      <c r="GU85" s="292"/>
      <c r="GV85" s="292"/>
      <c r="GW85" s="292"/>
      <c r="GX85" s="292"/>
      <c r="GY85" s="292"/>
      <c r="GZ85" s="292"/>
      <c r="HA85" s="292"/>
      <c r="HB85" s="292"/>
      <c r="HC85" s="292"/>
      <c r="HD85" s="292"/>
      <c r="HE85" s="292"/>
      <c r="HF85" s="292"/>
      <c r="HG85" s="292"/>
      <c r="HH85" s="292"/>
      <c r="HI85" s="292"/>
      <c r="HJ85" s="292"/>
      <c r="HK85" s="292"/>
      <c r="HL85" s="292"/>
      <c r="HM85" s="292"/>
      <c r="HN85" s="292"/>
      <c r="HO85" s="292"/>
      <c r="HP85" s="292"/>
      <c r="HQ85" s="292"/>
      <c r="HR85" s="292"/>
      <c r="HS85" s="292"/>
      <c r="HT85" s="292"/>
      <c r="HU85" s="292"/>
      <c r="HV85" s="292"/>
      <c r="HW85" s="292"/>
    </row>
    <row r="86" spans="1:231" ht="14.1" customHeight="1">
      <c r="A86" s="292"/>
      <c r="B86" s="311"/>
      <c r="C86" s="311"/>
      <c r="E86" s="329"/>
      <c r="F86" s="292"/>
      <c r="G86" s="292"/>
      <c r="H86" s="292"/>
      <c r="I86" s="292"/>
      <c r="K86" s="926"/>
      <c r="L86" s="922"/>
      <c r="M86" s="922"/>
      <c r="N86" s="922"/>
      <c r="O86" s="922"/>
      <c r="P86" s="922"/>
      <c r="Q86" s="922"/>
      <c r="R86" s="922"/>
      <c r="S86" s="922"/>
      <c r="T86" s="922"/>
      <c r="U86" s="291"/>
      <c r="V86" s="291"/>
      <c r="W86" s="291"/>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292"/>
      <c r="BG86" s="292"/>
      <c r="BH86" s="292"/>
      <c r="BI86" s="292"/>
      <c r="BJ86" s="292"/>
      <c r="BK86" s="292"/>
      <c r="BL86" s="292"/>
      <c r="BM86" s="292"/>
      <c r="BN86" s="292"/>
      <c r="BO86" s="292"/>
      <c r="BP86" s="292"/>
      <c r="BQ86" s="292"/>
      <c r="BR86" s="292"/>
      <c r="BS86" s="292"/>
      <c r="BT86" s="292"/>
      <c r="BU86" s="292"/>
      <c r="BV86" s="292"/>
      <c r="BW86" s="292"/>
      <c r="BX86" s="292"/>
      <c r="BY86" s="292"/>
      <c r="BZ86" s="292"/>
      <c r="CA86" s="292"/>
      <c r="CB86" s="292"/>
      <c r="CC86" s="292"/>
      <c r="CD86" s="292"/>
      <c r="CE86" s="292"/>
      <c r="CF86" s="292"/>
      <c r="CG86" s="292"/>
      <c r="CH86" s="292"/>
      <c r="CI86" s="292"/>
      <c r="CJ86" s="292"/>
      <c r="CK86" s="292"/>
      <c r="CL86" s="292"/>
      <c r="CM86" s="292"/>
      <c r="CN86" s="292"/>
      <c r="CO86" s="292"/>
      <c r="CP86" s="292"/>
      <c r="CQ86" s="292"/>
      <c r="CR86" s="292"/>
      <c r="CS86" s="292"/>
      <c r="CT86" s="292"/>
      <c r="CU86" s="292"/>
      <c r="CV86" s="292"/>
      <c r="CW86" s="292"/>
      <c r="CX86" s="292"/>
      <c r="CY86" s="292"/>
      <c r="CZ86" s="292"/>
      <c r="DA86" s="292"/>
      <c r="DB86" s="292"/>
      <c r="DC86" s="292"/>
      <c r="DD86" s="292"/>
      <c r="DE86" s="292"/>
      <c r="DF86" s="292"/>
      <c r="DG86" s="292"/>
      <c r="DH86" s="292"/>
      <c r="DI86" s="292"/>
      <c r="DJ86" s="292"/>
      <c r="DK86" s="292"/>
      <c r="DL86" s="292"/>
      <c r="DM86" s="292"/>
      <c r="DN86" s="292"/>
      <c r="DO86" s="292"/>
      <c r="DP86" s="292"/>
      <c r="DQ86" s="292"/>
      <c r="DR86" s="292"/>
      <c r="DS86" s="292"/>
      <c r="DT86" s="292"/>
      <c r="DU86" s="292"/>
      <c r="DV86" s="292"/>
      <c r="DW86" s="292"/>
      <c r="DX86" s="292"/>
      <c r="DY86" s="292"/>
      <c r="DZ86" s="292"/>
      <c r="EA86" s="292"/>
      <c r="EB86" s="292"/>
      <c r="EC86" s="292"/>
      <c r="ED86" s="292"/>
      <c r="EE86" s="292"/>
      <c r="EF86" s="292"/>
      <c r="EG86" s="292"/>
      <c r="EH86" s="292"/>
      <c r="EI86" s="292"/>
      <c r="EJ86" s="292"/>
      <c r="EK86" s="292"/>
      <c r="EL86" s="292"/>
      <c r="EM86" s="292"/>
      <c r="EN86" s="292"/>
      <c r="EO86" s="292"/>
      <c r="EP86" s="292"/>
      <c r="EQ86" s="292"/>
      <c r="ER86" s="292"/>
      <c r="ES86" s="292"/>
      <c r="ET86" s="292"/>
      <c r="EU86" s="292"/>
      <c r="EV86" s="292"/>
      <c r="EW86" s="292"/>
      <c r="EX86" s="292"/>
      <c r="EY86" s="292"/>
      <c r="EZ86" s="292"/>
      <c r="FA86" s="292"/>
      <c r="FB86" s="292"/>
      <c r="FC86" s="292"/>
      <c r="FD86" s="292"/>
      <c r="FE86" s="292"/>
      <c r="FF86" s="292"/>
      <c r="FG86" s="292"/>
      <c r="FH86" s="292"/>
      <c r="FI86" s="292"/>
      <c r="FJ86" s="292"/>
      <c r="FK86" s="292"/>
      <c r="FL86" s="292"/>
      <c r="FM86" s="292"/>
      <c r="FN86" s="292"/>
      <c r="FO86" s="292"/>
      <c r="FP86" s="292"/>
      <c r="FQ86" s="292"/>
      <c r="FR86" s="292"/>
      <c r="FS86" s="292"/>
      <c r="FT86" s="292"/>
      <c r="FU86" s="292"/>
      <c r="FV86" s="292"/>
      <c r="FW86" s="292"/>
      <c r="FX86" s="292"/>
      <c r="FY86" s="292"/>
      <c r="FZ86" s="292"/>
      <c r="GA86" s="292"/>
      <c r="GB86" s="292"/>
      <c r="GC86" s="292"/>
      <c r="GD86" s="292"/>
      <c r="GE86" s="292"/>
      <c r="GF86" s="292"/>
      <c r="GG86" s="292"/>
      <c r="GH86" s="292"/>
      <c r="GI86" s="292"/>
      <c r="GJ86" s="292"/>
      <c r="GK86" s="292"/>
      <c r="GL86" s="292"/>
      <c r="GM86" s="292"/>
      <c r="GN86" s="292"/>
      <c r="GO86" s="292"/>
      <c r="GP86" s="292"/>
      <c r="GQ86" s="292"/>
      <c r="GR86" s="292"/>
      <c r="GS86" s="292"/>
      <c r="GT86" s="292"/>
      <c r="GU86" s="292"/>
      <c r="GV86" s="292"/>
      <c r="GW86" s="292"/>
      <c r="GX86" s="292"/>
      <c r="GY86" s="292"/>
      <c r="GZ86" s="292"/>
      <c r="HA86" s="292"/>
      <c r="HB86" s="292"/>
      <c r="HC86" s="292"/>
      <c r="HD86" s="292"/>
      <c r="HE86" s="292"/>
      <c r="HF86" s="292"/>
      <c r="HG86" s="292"/>
      <c r="HH86" s="292"/>
      <c r="HI86" s="292"/>
      <c r="HJ86" s="292"/>
      <c r="HK86" s="292"/>
      <c r="HL86" s="292"/>
      <c r="HM86" s="292"/>
      <c r="HN86" s="292"/>
      <c r="HO86" s="292"/>
      <c r="HP86" s="292"/>
      <c r="HQ86" s="292"/>
      <c r="HR86" s="292"/>
      <c r="HS86" s="292"/>
      <c r="HT86" s="292"/>
      <c r="HU86" s="292"/>
      <c r="HV86" s="292"/>
      <c r="HW86" s="292"/>
    </row>
    <row r="87" spans="1:231" ht="14.1" customHeight="1">
      <c r="A87" s="292"/>
      <c r="B87" s="311"/>
      <c r="C87" s="311"/>
      <c r="E87" s="329"/>
      <c r="F87" s="292"/>
      <c r="G87" s="292"/>
      <c r="H87" s="292"/>
      <c r="I87" s="292"/>
      <c r="K87" s="926"/>
      <c r="L87" s="922"/>
      <c r="M87" s="922"/>
      <c r="N87" s="922"/>
      <c r="O87" s="922"/>
      <c r="P87" s="922"/>
      <c r="Q87" s="922"/>
      <c r="R87" s="922"/>
      <c r="S87" s="922"/>
      <c r="T87" s="922"/>
      <c r="U87" s="291"/>
      <c r="V87" s="291"/>
      <c r="W87" s="291"/>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2"/>
      <c r="AZ87" s="292"/>
      <c r="BA87" s="292"/>
      <c r="BB87" s="292"/>
      <c r="BC87" s="292"/>
      <c r="BD87" s="292"/>
      <c r="BE87" s="292"/>
      <c r="BF87" s="292"/>
      <c r="BG87" s="292"/>
      <c r="BH87" s="292"/>
      <c r="BI87" s="292"/>
      <c r="BJ87" s="292"/>
      <c r="BK87" s="292"/>
      <c r="BL87" s="292"/>
      <c r="BM87" s="292"/>
      <c r="BN87" s="292"/>
      <c r="BO87" s="292"/>
      <c r="BP87" s="292"/>
      <c r="BQ87" s="292"/>
      <c r="BR87" s="292"/>
      <c r="BS87" s="292"/>
      <c r="BT87" s="292"/>
      <c r="BU87" s="292"/>
      <c r="BV87" s="292"/>
      <c r="BW87" s="292"/>
      <c r="BX87" s="292"/>
      <c r="BY87" s="292"/>
      <c r="BZ87" s="292"/>
      <c r="CA87" s="292"/>
      <c r="CB87" s="292"/>
      <c r="CC87" s="292"/>
      <c r="CD87" s="292"/>
      <c r="CE87" s="292"/>
      <c r="CF87" s="292"/>
      <c r="CG87" s="292"/>
      <c r="CH87" s="292"/>
      <c r="CI87" s="292"/>
      <c r="CJ87" s="292"/>
      <c r="CK87" s="292"/>
      <c r="CL87" s="292"/>
      <c r="CM87" s="292"/>
      <c r="CN87" s="292"/>
      <c r="CO87" s="292"/>
      <c r="CP87" s="292"/>
      <c r="CQ87" s="292"/>
      <c r="CR87" s="292"/>
      <c r="CS87" s="292"/>
      <c r="CT87" s="292"/>
      <c r="CU87" s="292"/>
      <c r="CV87" s="292"/>
      <c r="CW87" s="292"/>
      <c r="CX87" s="292"/>
      <c r="CY87" s="292"/>
      <c r="CZ87" s="292"/>
      <c r="DA87" s="292"/>
      <c r="DB87" s="292"/>
      <c r="DC87" s="292"/>
      <c r="DD87" s="292"/>
      <c r="DE87" s="292"/>
      <c r="DF87" s="292"/>
      <c r="DG87" s="292"/>
      <c r="DH87" s="292"/>
      <c r="DI87" s="292"/>
      <c r="DJ87" s="292"/>
      <c r="DK87" s="292"/>
      <c r="DL87" s="292"/>
      <c r="DM87" s="292"/>
      <c r="DN87" s="292"/>
      <c r="DO87" s="292"/>
      <c r="DP87" s="292"/>
      <c r="DQ87" s="292"/>
      <c r="DR87" s="292"/>
      <c r="DS87" s="292"/>
      <c r="DT87" s="292"/>
      <c r="DU87" s="292"/>
      <c r="DV87" s="292"/>
      <c r="DW87" s="292"/>
      <c r="DX87" s="292"/>
      <c r="DY87" s="292"/>
      <c r="DZ87" s="292"/>
      <c r="EA87" s="292"/>
      <c r="EB87" s="292"/>
      <c r="EC87" s="292"/>
      <c r="ED87" s="292"/>
      <c r="EE87" s="292"/>
      <c r="EF87" s="292"/>
      <c r="EG87" s="292"/>
      <c r="EH87" s="292"/>
      <c r="EI87" s="292"/>
      <c r="EJ87" s="292"/>
      <c r="EK87" s="292"/>
      <c r="EL87" s="292"/>
      <c r="EM87" s="292"/>
      <c r="EN87" s="292"/>
      <c r="EO87" s="292"/>
      <c r="EP87" s="292"/>
      <c r="EQ87" s="292"/>
      <c r="ER87" s="292"/>
      <c r="ES87" s="292"/>
      <c r="ET87" s="292"/>
      <c r="EU87" s="292"/>
      <c r="EV87" s="292"/>
      <c r="EW87" s="292"/>
      <c r="EX87" s="292"/>
      <c r="EY87" s="292"/>
      <c r="EZ87" s="292"/>
      <c r="FA87" s="292"/>
      <c r="FB87" s="292"/>
      <c r="FC87" s="292"/>
      <c r="FD87" s="292"/>
      <c r="FE87" s="292"/>
      <c r="FF87" s="292"/>
      <c r="FG87" s="292"/>
      <c r="FH87" s="292"/>
      <c r="FI87" s="292"/>
      <c r="FJ87" s="292"/>
      <c r="FK87" s="292"/>
      <c r="FL87" s="292"/>
      <c r="FM87" s="292"/>
      <c r="FN87" s="292"/>
      <c r="FO87" s="292"/>
      <c r="FP87" s="292"/>
      <c r="FQ87" s="292"/>
      <c r="FR87" s="292"/>
      <c r="FS87" s="292"/>
      <c r="FT87" s="292"/>
      <c r="FU87" s="292"/>
      <c r="FV87" s="292"/>
      <c r="FW87" s="292"/>
      <c r="FX87" s="292"/>
      <c r="FY87" s="292"/>
      <c r="FZ87" s="292"/>
      <c r="GA87" s="292"/>
      <c r="GB87" s="292"/>
      <c r="GC87" s="292"/>
      <c r="GD87" s="292"/>
      <c r="GE87" s="292"/>
      <c r="GF87" s="292"/>
      <c r="GG87" s="292"/>
      <c r="GH87" s="292"/>
      <c r="GI87" s="292"/>
      <c r="GJ87" s="292"/>
      <c r="GK87" s="292"/>
      <c r="GL87" s="292"/>
      <c r="GM87" s="292"/>
      <c r="GN87" s="292"/>
      <c r="GO87" s="292"/>
      <c r="GP87" s="292"/>
      <c r="GQ87" s="292"/>
      <c r="GR87" s="292"/>
      <c r="GS87" s="292"/>
      <c r="GT87" s="292"/>
      <c r="GU87" s="292"/>
      <c r="GV87" s="292"/>
      <c r="GW87" s="292"/>
      <c r="GX87" s="292"/>
      <c r="GY87" s="292"/>
      <c r="GZ87" s="292"/>
      <c r="HA87" s="292"/>
      <c r="HB87" s="292"/>
      <c r="HC87" s="292"/>
      <c r="HD87" s="292"/>
      <c r="HE87" s="292"/>
      <c r="HF87" s="292"/>
      <c r="HG87" s="292"/>
      <c r="HH87" s="292"/>
      <c r="HI87" s="292"/>
      <c r="HJ87" s="292"/>
      <c r="HK87" s="292"/>
      <c r="HL87" s="292"/>
      <c r="HM87" s="292"/>
      <c r="HN87" s="292"/>
      <c r="HO87" s="292"/>
      <c r="HP87" s="292"/>
      <c r="HQ87" s="292"/>
      <c r="HR87" s="292"/>
      <c r="HS87" s="292"/>
      <c r="HT87" s="292"/>
      <c r="HU87" s="292"/>
      <c r="HV87" s="292"/>
      <c r="HW87" s="292"/>
    </row>
    <row r="88" spans="1:231" ht="14.1" customHeight="1">
      <c r="A88" s="292"/>
      <c r="B88" s="311"/>
      <c r="C88" s="311"/>
      <c r="E88" s="329"/>
      <c r="F88" s="292"/>
      <c r="G88" s="292"/>
      <c r="H88" s="292"/>
      <c r="I88" s="292"/>
      <c r="K88" s="926"/>
      <c r="L88" s="922"/>
      <c r="M88" s="922"/>
      <c r="N88" s="922"/>
      <c r="O88" s="922"/>
      <c r="P88" s="922"/>
      <c r="Q88" s="922"/>
      <c r="R88" s="922"/>
      <c r="S88" s="922"/>
      <c r="T88" s="922"/>
      <c r="U88" s="291"/>
      <c r="V88" s="291"/>
      <c r="W88" s="291"/>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292"/>
      <c r="BA88" s="292"/>
      <c r="BB88" s="292"/>
      <c r="BC88" s="292"/>
      <c r="BD88" s="292"/>
      <c r="BE88" s="292"/>
      <c r="BF88" s="292"/>
      <c r="BG88" s="292"/>
      <c r="BH88" s="292"/>
      <c r="BI88" s="292"/>
      <c r="BJ88" s="292"/>
      <c r="BK88" s="292"/>
      <c r="BL88" s="292"/>
      <c r="BM88" s="292"/>
      <c r="BN88" s="292"/>
      <c r="BO88" s="292"/>
      <c r="BP88" s="292"/>
      <c r="BQ88" s="292"/>
      <c r="BR88" s="292"/>
      <c r="BS88" s="292"/>
      <c r="BT88" s="292"/>
      <c r="BU88" s="292"/>
      <c r="BV88" s="292"/>
      <c r="BW88" s="292"/>
      <c r="BX88" s="292"/>
      <c r="BY88" s="292"/>
      <c r="BZ88" s="292"/>
      <c r="CA88" s="292"/>
      <c r="CB88" s="292"/>
      <c r="CC88" s="292"/>
      <c r="CD88" s="292"/>
      <c r="CE88" s="292"/>
      <c r="CF88" s="292"/>
      <c r="CG88" s="292"/>
      <c r="CH88" s="292"/>
      <c r="CI88" s="292"/>
      <c r="CJ88" s="292"/>
      <c r="CK88" s="292"/>
      <c r="CL88" s="292"/>
      <c r="CM88" s="292"/>
      <c r="CN88" s="292"/>
      <c r="CO88" s="292"/>
      <c r="CP88" s="292"/>
      <c r="CQ88" s="292"/>
      <c r="CR88" s="292"/>
      <c r="CS88" s="292"/>
      <c r="CT88" s="292"/>
      <c r="CU88" s="292"/>
      <c r="CV88" s="292"/>
      <c r="CW88" s="292"/>
      <c r="CX88" s="292"/>
      <c r="CY88" s="292"/>
      <c r="CZ88" s="292"/>
      <c r="DA88" s="292"/>
      <c r="DB88" s="292"/>
      <c r="DC88" s="292"/>
      <c r="DD88" s="292"/>
      <c r="DE88" s="292"/>
      <c r="DF88" s="292"/>
      <c r="DG88" s="292"/>
      <c r="DH88" s="292"/>
      <c r="DI88" s="292"/>
      <c r="DJ88" s="292"/>
      <c r="DK88" s="292"/>
      <c r="DL88" s="292"/>
      <c r="DM88" s="292"/>
      <c r="DN88" s="292"/>
      <c r="DO88" s="292"/>
      <c r="DP88" s="292"/>
      <c r="DQ88" s="292"/>
      <c r="DR88" s="292"/>
      <c r="DS88" s="292"/>
      <c r="DT88" s="292"/>
      <c r="DU88" s="292"/>
      <c r="DV88" s="292"/>
      <c r="DW88" s="292"/>
      <c r="DX88" s="292"/>
      <c r="DY88" s="292"/>
      <c r="DZ88" s="292"/>
      <c r="EA88" s="292"/>
      <c r="EB88" s="292"/>
      <c r="EC88" s="292"/>
      <c r="ED88" s="292"/>
      <c r="EE88" s="292"/>
      <c r="EF88" s="292"/>
      <c r="EG88" s="292"/>
      <c r="EH88" s="292"/>
      <c r="EI88" s="292"/>
      <c r="EJ88" s="292"/>
      <c r="EK88" s="292"/>
      <c r="EL88" s="292"/>
      <c r="EM88" s="292"/>
      <c r="EN88" s="292"/>
      <c r="EO88" s="292"/>
      <c r="EP88" s="292"/>
      <c r="EQ88" s="292"/>
      <c r="ER88" s="292"/>
      <c r="ES88" s="292"/>
      <c r="ET88" s="292"/>
      <c r="EU88" s="292"/>
      <c r="EV88" s="292"/>
      <c r="EW88" s="292"/>
      <c r="EX88" s="292"/>
      <c r="EY88" s="292"/>
      <c r="EZ88" s="292"/>
      <c r="FA88" s="292"/>
      <c r="FB88" s="292"/>
      <c r="FC88" s="292"/>
      <c r="FD88" s="292"/>
      <c r="FE88" s="292"/>
      <c r="FF88" s="292"/>
      <c r="FG88" s="292"/>
      <c r="FH88" s="292"/>
      <c r="FI88" s="292"/>
      <c r="FJ88" s="292"/>
      <c r="FK88" s="292"/>
      <c r="FL88" s="292"/>
      <c r="FM88" s="292"/>
      <c r="FN88" s="292"/>
      <c r="FO88" s="292"/>
      <c r="FP88" s="292"/>
      <c r="FQ88" s="292"/>
      <c r="FR88" s="292"/>
      <c r="FS88" s="292"/>
      <c r="FT88" s="292"/>
      <c r="FU88" s="292"/>
      <c r="FV88" s="292"/>
      <c r="FW88" s="292"/>
      <c r="FX88" s="292"/>
      <c r="FY88" s="292"/>
      <c r="FZ88" s="292"/>
      <c r="GA88" s="292"/>
      <c r="GB88" s="292"/>
      <c r="GC88" s="292"/>
      <c r="GD88" s="292"/>
      <c r="GE88" s="292"/>
      <c r="GF88" s="292"/>
      <c r="GG88" s="292"/>
      <c r="GH88" s="292"/>
      <c r="GI88" s="292"/>
      <c r="GJ88" s="292"/>
      <c r="GK88" s="292"/>
      <c r="GL88" s="292"/>
      <c r="GM88" s="292"/>
      <c r="GN88" s="292"/>
      <c r="GO88" s="292"/>
      <c r="GP88" s="292"/>
      <c r="GQ88" s="292"/>
      <c r="GR88" s="292"/>
      <c r="GS88" s="292"/>
      <c r="GT88" s="292"/>
      <c r="GU88" s="292"/>
      <c r="GV88" s="292"/>
      <c r="GW88" s="292"/>
      <c r="GX88" s="292"/>
      <c r="GY88" s="292"/>
      <c r="GZ88" s="292"/>
      <c r="HA88" s="292"/>
      <c r="HB88" s="292"/>
      <c r="HC88" s="292"/>
      <c r="HD88" s="292"/>
      <c r="HE88" s="292"/>
      <c r="HF88" s="292"/>
      <c r="HG88" s="292"/>
      <c r="HH88" s="292"/>
      <c r="HI88" s="292"/>
      <c r="HJ88" s="292"/>
      <c r="HK88" s="292"/>
      <c r="HL88" s="292"/>
      <c r="HM88" s="292"/>
      <c r="HN88" s="292"/>
      <c r="HO88" s="292"/>
      <c r="HP88" s="292"/>
      <c r="HQ88" s="292"/>
      <c r="HR88" s="292"/>
      <c r="HS88" s="292"/>
      <c r="HT88" s="292"/>
      <c r="HU88" s="292"/>
      <c r="HV88" s="292"/>
      <c r="HW88" s="292"/>
    </row>
    <row r="89" spans="1:231" ht="14.1" customHeight="1">
      <c r="A89" s="292"/>
      <c r="B89" s="311"/>
      <c r="C89" s="311"/>
      <c r="E89" s="329"/>
      <c r="F89" s="292"/>
      <c r="G89" s="292"/>
      <c r="H89" s="292"/>
      <c r="I89" s="292"/>
      <c r="K89" s="926"/>
      <c r="L89" s="922"/>
      <c r="M89" s="922"/>
      <c r="N89" s="922"/>
      <c r="O89" s="922"/>
      <c r="P89" s="922"/>
      <c r="Q89" s="922"/>
      <c r="R89" s="922"/>
      <c r="S89" s="922"/>
      <c r="T89" s="922"/>
      <c r="U89" s="291"/>
      <c r="V89" s="291"/>
      <c r="W89" s="291"/>
      <c r="X89" s="292"/>
      <c r="Y89" s="292"/>
      <c r="Z89" s="292"/>
      <c r="AA89" s="292"/>
      <c r="AB89" s="292"/>
      <c r="AC89" s="292"/>
      <c r="AD89" s="292"/>
      <c r="AE89" s="292"/>
      <c r="AF89" s="292"/>
      <c r="AG89" s="292"/>
      <c r="AH89" s="292"/>
      <c r="AI89" s="292"/>
      <c r="AJ89" s="292"/>
      <c r="AK89" s="292"/>
      <c r="AL89" s="292"/>
      <c r="AM89" s="292"/>
      <c r="AN89" s="292"/>
      <c r="AO89" s="292"/>
      <c r="AP89" s="292"/>
      <c r="AQ89" s="292"/>
      <c r="AR89" s="292"/>
      <c r="AS89" s="292"/>
      <c r="AT89" s="292"/>
      <c r="AU89" s="292"/>
      <c r="AV89" s="292"/>
      <c r="AW89" s="292"/>
      <c r="AX89" s="292"/>
      <c r="AY89" s="292"/>
      <c r="AZ89" s="292"/>
      <c r="BA89" s="292"/>
      <c r="BB89" s="292"/>
      <c r="BC89" s="292"/>
      <c r="BD89" s="292"/>
      <c r="BE89" s="292"/>
      <c r="BF89" s="292"/>
      <c r="BG89" s="292"/>
      <c r="BH89" s="292"/>
      <c r="BI89" s="292"/>
      <c r="BJ89" s="292"/>
      <c r="BK89" s="292"/>
      <c r="BL89" s="292"/>
      <c r="BM89" s="292"/>
      <c r="BN89" s="292"/>
      <c r="BO89" s="292"/>
      <c r="BP89" s="292"/>
      <c r="BQ89" s="292"/>
      <c r="BR89" s="292"/>
      <c r="BS89" s="292"/>
      <c r="BT89" s="292"/>
      <c r="BU89" s="292"/>
      <c r="BV89" s="292"/>
      <c r="BW89" s="292"/>
      <c r="BX89" s="292"/>
      <c r="BY89" s="292"/>
      <c r="BZ89" s="292"/>
      <c r="CA89" s="292"/>
      <c r="CB89" s="292"/>
      <c r="CC89" s="292"/>
      <c r="CD89" s="292"/>
      <c r="CE89" s="292"/>
      <c r="CF89" s="292"/>
      <c r="CG89" s="292"/>
      <c r="CH89" s="292"/>
      <c r="CI89" s="292"/>
      <c r="CJ89" s="292"/>
      <c r="CK89" s="292"/>
      <c r="CL89" s="292"/>
      <c r="CM89" s="292"/>
      <c r="CN89" s="292"/>
      <c r="CO89" s="292"/>
      <c r="CP89" s="292"/>
      <c r="CQ89" s="292"/>
      <c r="CR89" s="292"/>
      <c r="CS89" s="292"/>
      <c r="CT89" s="292"/>
      <c r="CU89" s="292"/>
      <c r="CV89" s="292"/>
      <c r="CW89" s="292"/>
      <c r="CX89" s="292"/>
      <c r="CY89" s="292"/>
      <c r="CZ89" s="292"/>
      <c r="DA89" s="292"/>
      <c r="DB89" s="292"/>
      <c r="DC89" s="292"/>
      <c r="DD89" s="292"/>
      <c r="DE89" s="292"/>
      <c r="DF89" s="292"/>
      <c r="DG89" s="292"/>
      <c r="DH89" s="292"/>
      <c r="DI89" s="292"/>
      <c r="DJ89" s="292"/>
      <c r="DK89" s="292"/>
      <c r="DL89" s="292"/>
      <c r="DM89" s="292"/>
      <c r="DN89" s="292"/>
      <c r="DO89" s="292"/>
      <c r="DP89" s="292"/>
      <c r="DQ89" s="292"/>
      <c r="DR89" s="292"/>
      <c r="DS89" s="292"/>
      <c r="DT89" s="292"/>
      <c r="DU89" s="292"/>
      <c r="DV89" s="292"/>
      <c r="DW89" s="292"/>
      <c r="DX89" s="292"/>
      <c r="DY89" s="292"/>
      <c r="DZ89" s="292"/>
      <c r="EA89" s="292"/>
      <c r="EB89" s="292"/>
      <c r="EC89" s="292"/>
      <c r="ED89" s="292"/>
      <c r="EE89" s="292"/>
      <c r="EF89" s="292"/>
      <c r="EG89" s="292"/>
      <c r="EH89" s="292"/>
      <c r="EI89" s="292"/>
      <c r="EJ89" s="292"/>
      <c r="EK89" s="292"/>
      <c r="EL89" s="292"/>
      <c r="EM89" s="292"/>
      <c r="EN89" s="292"/>
      <c r="EO89" s="292"/>
      <c r="EP89" s="292"/>
      <c r="EQ89" s="292"/>
      <c r="ER89" s="292"/>
      <c r="ES89" s="292"/>
      <c r="ET89" s="292"/>
      <c r="EU89" s="292"/>
      <c r="EV89" s="292"/>
      <c r="EW89" s="292"/>
      <c r="EX89" s="292"/>
      <c r="EY89" s="292"/>
      <c r="EZ89" s="292"/>
      <c r="FA89" s="292"/>
      <c r="FB89" s="292"/>
      <c r="FC89" s="292"/>
      <c r="FD89" s="292"/>
      <c r="FE89" s="292"/>
      <c r="FF89" s="292"/>
      <c r="FG89" s="292"/>
      <c r="FH89" s="292"/>
      <c r="FI89" s="292"/>
      <c r="FJ89" s="292"/>
      <c r="FK89" s="292"/>
      <c r="FL89" s="292"/>
      <c r="FM89" s="292"/>
      <c r="FN89" s="292"/>
      <c r="FO89" s="292"/>
      <c r="FP89" s="292"/>
      <c r="FQ89" s="292"/>
      <c r="FR89" s="292"/>
      <c r="FS89" s="292"/>
      <c r="FT89" s="292"/>
      <c r="FU89" s="292"/>
      <c r="FV89" s="292"/>
      <c r="FW89" s="292"/>
      <c r="FX89" s="292"/>
      <c r="FY89" s="292"/>
      <c r="FZ89" s="292"/>
      <c r="GA89" s="292"/>
      <c r="GB89" s="292"/>
      <c r="GC89" s="292"/>
      <c r="GD89" s="292"/>
      <c r="GE89" s="292"/>
      <c r="GF89" s="292"/>
      <c r="GG89" s="292"/>
      <c r="GH89" s="292"/>
      <c r="GI89" s="292"/>
      <c r="GJ89" s="292"/>
      <c r="GK89" s="292"/>
      <c r="GL89" s="292"/>
      <c r="GM89" s="292"/>
      <c r="GN89" s="292"/>
      <c r="GO89" s="292"/>
      <c r="GP89" s="292"/>
      <c r="GQ89" s="292"/>
      <c r="GR89" s="292"/>
      <c r="GS89" s="292"/>
      <c r="GT89" s="292"/>
      <c r="GU89" s="292"/>
      <c r="GV89" s="292"/>
      <c r="GW89" s="292"/>
      <c r="GX89" s="292"/>
      <c r="GY89" s="292"/>
      <c r="GZ89" s="292"/>
      <c r="HA89" s="292"/>
      <c r="HB89" s="292"/>
      <c r="HC89" s="292"/>
      <c r="HD89" s="292"/>
      <c r="HE89" s="292"/>
      <c r="HF89" s="292"/>
      <c r="HG89" s="292"/>
      <c r="HH89" s="292"/>
      <c r="HI89" s="292"/>
      <c r="HJ89" s="292"/>
      <c r="HK89" s="292"/>
      <c r="HL89" s="292"/>
      <c r="HM89" s="292"/>
      <c r="HN89" s="292"/>
      <c r="HO89" s="292"/>
      <c r="HP89" s="292"/>
      <c r="HQ89" s="292"/>
      <c r="HR89" s="292"/>
      <c r="HS89" s="292"/>
      <c r="HT89" s="292"/>
      <c r="HU89" s="292"/>
      <c r="HV89" s="292"/>
      <c r="HW89" s="292"/>
    </row>
    <row r="90" spans="1:231" ht="14.1" customHeight="1">
      <c r="A90" s="292"/>
      <c r="B90" s="311"/>
      <c r="C90" s="311"/>
      <c r="E90" s="329"/>
      <c r="F90" s="292"/>
      <c r="G90" s="292"/>
      <c r="H90" s="292"/>
      <c r="I90" s="292"/>
      <c r="K90" s="926"/>
      <c r="L90" s="922"/>
      <c r="M90" s="922"/>
      <c r="N90" s="922"/>
      <c r="O90" s="922"/>
      <c r="P90" s="922"/>
      <c r="Q90" s="922"/>
      <c r="R90" s="922"/>
      <c r="S90" s="922"/>
      <c r="T90" s="922"/>
      <c r="U90" s="291"/>
      <c r="V90" s="291"/>
      <c r="W90" s="291"/>
      <c r="X90" s="292"/>
      <c r="Y90" s="292"/>
      <c r="Z90" s="292"/>
      <c r="AA90" s="292"/>
      <c r="AB90" s="292"/>
      <c r="AC90" s="292"/>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292"/>
      <c r="AZ90" s="292"/>
      <c r="BA90" s="292"/>
      <c r="BB90" s="292"/>
      <c r="BC90" s="292"/>
      <c r="BD90" s="292"/>
      <c r="BE90" s="292"/>
      <c r="BF90" s="292"/>
      <c r="BG90" s="292"/>
      <c r="BH90" s="292"/>
      <c r="BI90" s="292"/>
      <c r="BJ90" s="292"/>
      <c r="BK90" s="292"/>
      <c r="BL90" s="292"/>
      <c r="BM90" s="292"/>
      <c r="BN90" s="292"/>
      <c r="BO90" s="292"/>
      <c r="BP90" s="292"/>
      <c r="BQ90" s="292"/>
      <c r="BR90" s="292"/>
      <c r="BS90" s="292"/>
      <c r="BT90" s="292"/>
      <c r="BU90" s="292"/>
      <c r="BV90" s="292"/>
      <c r="BW90" s="292"/>
      <c r="BX90" s="292"/>
      <c r="BY90" s="292"/>
      <c r="BZ90" s="292"/>
      <c r="CA90" s="292"/>
      <c r="CB90" s="292"/>
      <c r="CC90" s="292"/>
      <c r="CD90" s="292"/>
      <c r="CE90" s="292"/>
      <c r="CF90" s="292"/>
      <c r="CG90" s="292"/>
      <c r="CH90" s="292"/>
      <c r="CI90" s="292"/>
      <c r="CJ90" s="292"/>
      <c r="CK90" s="292"/>
      <c r="CL90" s="292"/>
      <c r="CM90" s="292"/>
      <c r="CN90" s="292"/>
      <c r="CO90" s="292"/>
      <c r="CP90" s="292"/>
      <c r="CQ90" s="292"/>
      <c r="CR90" s="292"/>
      <c r="CS90" s="292"/>
      <c r="CT90" s="292"/>
      <c r="CU90" s="292"/>
      <c r="CV90" s="292"/>
      <c r="CW90" s="292"/>
      <c r="CX90" s="292"/>
      <c r="CY90" s="292"/>
      <c r="CZ90" s="292"/>
      <c r="DA90" s="292"/>
      <c r="DB90" s="292"/>
      <c r="DC90" s="292"/>
      <c r="DD90" s="292"/>
      <c r="DE90" s="292"/>
      <c r="DF90" s="292"/>
      <c r="DG90" s="292"/>
      <c r="DH90" s="292"/>
      <c r="DI90" s="292"/>
      <c r="DJ90" s="292"/>
      <c r="DK90" s="292"/>
      <c r="DL90" s="292"/>
      <c r="DM90" s="292"/>
      <c r="DN90" s="292"/>
      <c r="DO90" s="292"/>
      <c r="DP90" s="292"/>
      <c r="DQ90" s="292"/>
      <c r="DR90" s="292"/>
      <c r="DS90" s="292"/>
      <c r="DT90" s="292"/>
      <c r="DU90" s="292"/>
      <c r="DV90" s="292"/>
      <c r="DW90" s="292"/>
      <c r="DX90" s="292"/>
      <c r="DY90" s="292"/>
      <c r="DZ90" s="292"/>
      <c r="EA90" s="292"/>
      <c r="EB90" s="292"/>
      <c r="EC90" s="292"/>
      <c r="ED90" s="292"/>
      <c r="EE90" s="292"/>
      <c r="EF90" s="292"/>
      <c r="EG90" s="292"/>
      <c r="EH90" s="292"/>
      <c r="EI90" s="292"/>
      <c r="EJ90" s="292"/>
      <c r="EK90" s="292"/>
      <c r="EL90" s="292"/>
      <c r="EM90" s="292"/>
      <c r="EN90" s="292"/>
      <c r="EO90" s="292"/>
      <c r="EP90" s="292"/>
      <c r="EQ90" s="292"/>
      <c r="ER90" s="292"/>
      <c r="ES90" s="292"/>
      <c r="ET90" s="292"/>
      <c r="EU90" s="292"/>
      <c r="EV90" s="292"/>
      <c r="EW90" s="292"/>
      <c r="EX90" s="292"/>
      <c r="EY90" s="292"/>
      <c r="EZ90" s="292"/>
      <c r="FA90" s="292"/>
      <c r="FB90" s="292"/>
      <c r="FC90" s="292"/>
      <c r="FD90" s="292"/>
      <c r="FE90" s="292"/>
      <c r="FF90" s="292"/>
      <c r="FG90" s="292"/>
      <c r="FH90" s="292"/>
      <c r="FI90" s="292"/>
      <c r="FJ90" s="292"/>
      <c r="FK90" s="292"/>
      <c r="FL90" s="292"/>
      <c r="FM90" s="292"/>
      <c r="FN90" s="292"/>
      <c r="FO90" s="292"/>
      <c r="FP90" s="292"/>
      <c r="FQ90" s="292"/>
      <c r="FR90" s="292"/>
      <c r="FS90" s="292"/>
      <c r="FT90" s="292"/>
      <c r="FU90" s="292"/>
      <c r="FV90" s="292"/>
      <c r="FW90" s="292"/>
      <c r="FX90" s="292"/>
      <c r="FY90" s="292"/>
      <c r="FZ90" s="292"/>
      <c r="GA90" s="292"/>
      <c r="GB90" s="292"/>
      <c r="GC90" s="292"/>
      <c r="GD90" s="292"/>
      <c r="GE90" s="292"/>
      <c r="GF90" s="292"/>
      <c r="GG90" s="292"/>
      <c r="GH90" s="292"/>
      <c r="GI90" s="292"/>
      <c r="GJ90" s="292"/>
      <c r="GK90" s="292"/>
      <c r="GL90" s="292"/>
      <c r="GM90" s="292"/>
      <c r="GN90" s="292"/>
      <c r="GO90" s="292"/>
      <c r="GP90" s="292"/>
      <c r="GQ90" s="292"/>
      <c r="GR90" s="292"/>
      <c r="GS90" s="292"/>
      <c r="GT90" s="292"/>
      <c r="GU90" s="292"/>
      <c r="GV90" s="292"/>
      <c r="GW90" s="292"/>
      <c r="GX90" s="292"/>
      <c r="GY90" s="292"/>
      <c r="GZ90" s="292"/>
      <c r="HA90" s="292"/>
      <c r="HB90" s="292"/>
      <c r="HC90" s="292"/>
      <c r="HD90" s="292"/>
      <c r="HE90" s="292"/>
      <c r="HF90" s="292"/>
      <c r="HG90" s="292"/>
      <c r="HH90" s="292"/>
      <c r="HI90" s="292"/>
      <c r="HJ90" s="292"/>
      <c r="HK90" s="292"/>
      <c r="HL90" s="292"/>
      <c r="HM90" s="292"/>
      <c r="HN90" s="292"/>
      <c r="HO90" s="292"/>
      <c r="HP90" s="292"/>
      <c r="HQ90" s="292"/>
      <c r="HR90" s="292"/>
      <c r="HS90" s="292"/>
      <c r="HT90" s="292"/>
      <c r="HU90" s="292"/>
      <c r="HV90" s="292"/>
      <c r="HW90" s="292"/>
    </row>
    <row r="91" spans="1:231" ht="14.1" customHeight="1">
      <c r="A91" s="292"/>
      <c r="B91" s="311"/>
      <c r="C91" s="311"/>
      <c r="E91" s="329"/>
      <c r="F91" s="292"/>
      <c r="G91" s="292"/>
      <c r="H91" s="292"/>
      <c r="I91" s="292"/>
      <c r="K91" s="926"/>
      <c r="L91" s="922"/>
      <c r="M91" s="922"/>
      <c r="N91" s="922"/>
      <c r="O91" s="922"/>
      <c r="P91" s="922"/>
      <c r="Q91" s="922"/>
      <c r="R91" s="922"/>
      <c r="S91" s="922"/>
      <c r="T91" s="922"/>
      <c r="U91" s="291"/>
      <c r="V91" s="291"/>
      <c r="W91" s="291"/>
      <c r="X91" s="292"/>
      <c r="Y91" s="292"/>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AY91" s="292"/>
      <c r="AZ91" s="292"/>
      <c r="BA91" s="292"/>
      <c r="BB91" s="292"/>
      <c r="BC91" s="292"/>
      <c r="BD91" s="292"/>
      <c r="BE91" s="292"/>
      <c r="BF91" s="292"/>
      <c r="BG91" s="292"/>
      <c r="BH91" s="292"/>
      <c r="BI91" s="292"/>
      <c r="BJ91" s="292"/>
      <c r="BK91" s="292"/>
      <c r="BL91" s="292"/>
      <c r="BM91" s="292"/>
      <c r="BN91" s="292"/>
      <c r="BO91" s="292"/>
      <c r="BP91" s="292"/>
      <c r="BQ91" s="292"/>
      <c r="BR91" s="292"/>
      <c r="BS91" s="292"/>
      <c r="BT91" s="292"/>
      <c r="BU91" s="292"/>
      <c r="BV91" s="292"/>
      <c r="BW91" s="292"/>
      <c r="BX91" s="292"/>
      <c r="BY91" s="292"/>
      <c r="BZ91" s="292"/>
      <c r="CA91" s="292"/>
      <c r="CB91" s="292"/>
      <c r="CC91" s="292"/>
      <c r="CD91" s="292"/>
      <c r="CE91" s="292"/>
      <c r="CF91" s="292"/>
      <c r="CG91" s="292"/>
      <c r="CH91" s="292"/>
      <c r="CI91" s="292"/>
      <c r="CJ91" s="292"/>
      <c r="CK91" s="292"/>
      <c r="CL91" s="292"/>
      <c r="CM91" s="292"/>
      <c r="CN91" s="292"/>
      <c r="CO91" s="292"/>
      <c r="CP91" s="292"/>
      <c r="CQ91" s="292"/>
      <c r="CR91" s="292"/>
      <c r="CS91" s="292"/>
      <c r="CT91" s="292"/>
      <c r="CU91" s="292"/>
      <c r="CV91" s="292"/>
      <c r="CW91" s="292"/>
      <c r="CX91" s="292"/>
      <c r="CY91" s="292"/>
      <c r="CZ91" s="292"/>
      <c r="DA91" s="292"/>
      <c r="DB91" s="292"/>
      <c r="DC91" s="292"/>
      <c r="DD91" s="292"/>
      <c r="DE91" s="292"/>
      <c r="DF91" s="292"/>
      <c r="DG91" s="292"/>
      <c r="DH91" s="292"/>
      <c r="DI91" s="292"/>
      <c r="DJ91" s="292"/>
      <c r="DK91" s="292"/>
      <c r="DL91" s="292"/>
      <c r="DM91" s="292"/>
      <c r="DN91" s="292"/>
      <c r="DO91" s="292"/>
      <c r="DP91" s="292"/>
      <c r="DQ91" s="292"/>
      <c r="DR91" s="292"/>
      <c r="DS91" s="292"/>
      <c r="DT91" s="292"/>
      <c r="DU91" s="292"/>
      <c r="DV91" s="292"/>
      <c r="DW91" s="292"/>
      <c r="DX91" s="292"/>
      <c r="DY91" s="292"/>
      <c r="DZ91" s="292"/>
      <c r="EA91" s="292"/>
      <c r="EB91" s="292"/>
      <c r="EC91" s="292"/>
      <c r="ED91" s="292"/>
      <c r="EE91" s="292"/>
      <c r="EF91" s="292"/>
      <c r="EG91" s="292"/>
      <c r="EH91" s="292"/>
      <c r="EI91" s="292"/>
      <c r="EJ91" s="292"/>
      <c r="EK91" s="292"/>
      <c r="EL91" s="292"/>
      <c r="EM91" s="292"/>
      <c r="EN91" s="292"/>
      <c r="EO91" s="292"/>
      <c r="EP91" s="292"/>
      <c r="EQ91" s="292"/>
      <c r="ER91" s="292"/>
      <c r="ES91" s="292"/>
      <c r="ET91" s="292"/>
      <c r="EU91" s="292"/>
      <c r="EV91" s="292"/>
      <c r="EW91" s="292"/>
      <c r="EX91" s="292"/>
      <c r="EY91" s="292"/>
      <c r="EZ91" s="292"/>
      <c r="FA91" s="292"/>
      <c r="FB91" s="292"/>
      <c r="FC91" s="292"/>
      <c r="FD91" s="292"/>
      <c r="FE91" s="292"/>
      <c r="FF91" s="292"/>
      <c r="FG91" s="292"/>
      <c r="FH91" s="292"/>
      <c r="FI91" s="292"/>
      <c r="FJ91" s="292"/>
      <c r="FK91" s="292"/>
      <c r="FL91" s="292"/>
      <c r="FM91" s="292"/>
      <c r="FN91" s="292"/>
      <c r="FO91" s="292"/>
      <c r="FP91" s="292"/>
      <c r="FQ91" s="292"/>
      <c r="FR91" s="292"/>
      <c r="FS91" s="292"/>
      <c r="FT91" s="292"/>
      <c r="FU91" s="292"/>
      <c r="FV91" s="292"/>
      <c r="FW91" s="292"/>
      <c r="FX91" s="292"/>
      <c r="FY91" s="292"/>
      <c r="FZ91" s="292"/>
      <c r="GA91" s="292"/>
      <c r="GB91" s="292"/>
      <c r="GC91" s="292"/>
      <c r="GD91" s="292"/>
      <c r="GE91" s="292"/>
      <c r="GF91" s="292"/>
      <c r="GG91" s="292"/>
      <c r="GH91" s="292"/>
      <c r="GI91" s="292"/>
      <c r="GJ91" s="292"/>
      <c r="GK91" s="292"/>
      <c r="GL91" s="292"/>
      <c r="GM91" s="292"/>
      <c r="GN91" s="292"/>
      <c r="GO91" s="292"/>
      <c r="GP91" s="292"/>
      <c r="GQ91" s="292"/>
      <c r="GR91" s="292"/>
      <c r="GS91" s="292"/>
      <c r="GT91" s="292"/>
      <c r="GU91" s="292"/>
      <c r="GV91" s="292"/>
      <c r="GW91" s="292"/>
      <c r="GX91" s="292"/>
      <c r="GY91" s="292"/>
      <c r="GZ91" s="292"/>
      <c r="HA91" s="292"/>
      <c r="HB91" s="292"/>
      <c r="HC91" s="292"/>
      <c r="HD91" s="292"/>
      <c r="HE91" s="292"/>
      <c r="HF91" s="292"/>
      <c r="HG91" s="292"/>
      <c r="HH91" s="292"/>
      <c r="HI91" s="292"/>
      <c r="HJ91" s="292"/>
      <c r="HK91" s="292"/>
      <c r="HL91" s="292"/>
      <c r="HM91" s="292"/>
      <c r="HN91" s="292"/>
      <c r="HO91" s="292"/>
      <c r="HP91" s="292"/>
      <c r="HQ91" s="292"/>
      <c r="HR91" s="292"/>
      <c r="HS91" s="292"/>
      <c r="HT91" s="292"/>
      <c r="HU91" s="292"/>
      <c r="HV91" s="292"/>
      <c r="HW91" s="292"/>
    </row>
    <row r="92" spans="1:231" ht="14.1" customHeight="1">
      <c r="A92" s="292"/>
      <c r="B92" s="311"/>
      <c r="C92" s="311"/>
      <c r="E92" s="329"/>
      <c r="F92" s="292"/>
      <c r="G92" s="292"/>
      <c r="H92" s="292"/>
      <c r="I92" s="292"/>
      <c r="K92" s="926"/>
      <c r="L92" s="922"/>
      <c r="M92" s="922"/>
      <c r="N92" s="922"/>
      <c r="O92" s="922"/>
      <c r="P92" s="922"/>
      <c r="Q92" s="922"/>
      <c r="R92" s="922"/>
      <c r="S92" s="922"/>
      <c r="T92" s="922"/>
      <c r="U92" s="291"/>
      <c r="V92" s="291"/>
      <c r="W92" s="291"/>
      <c r="X92" s="292"/>
      <c r="Y92" s="292"/>
      <c r="Z92" s="292"/>
      <c r="AA92" s="292"/>
      <c r="AB92" s="292"/>
      <c r="AC92" s="292"/>
      <c r="AD92" s="292"/>
      <c r="AE92" s="292"/>
      <c r="AF92" s="292"/>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c r="BF92" s="292"/>
      <c r="BG92" s="292"/>
      <c r="BH92" s="292"/>
      <c r="BI92" s="292"/>
      <c r="BJ92" s="292"/>
      <c r="BK92" s="292"/>
      <c r="BL92" s="292"/>
      <c r="BM92" s="292"/>
      <c r="BN92" s="292"/>
      <c r="BO92" s="292"/>
      <c r="BP92" s="292"/>
      <c r="BQ92" s="292"/>
      <c r="BR92" s="292"/>
      <c r="BS92" s="292"/>
      <c r="BT92" s="292"/>
      <c r="BU92" s="292"/>
      <c r="BV92" s="292"/>
      <c r="BW92" s="292"/>
      <c r="BX92" s="292"/>
      <c r="BY92" s="292"/>
      <c r="BZ92" s="292"/>
      <c r="CA92" s="292"/>
      <c r="CB92" s="292"/>
      <c r="CC92" s="292"/>
      <c r="CD92" s="292"/>
      <c r="CE92" s="292"/>
      <c r="CF92" s="292"/>
      <c r="CG92" s="292"/>
      <c r="CH92" s="292"/>
      <c r="CI92" s="292"/>
      <c r="CJ92" s="292"/>
      <c r="CK92" s="292"/>
      <c r="CL92" s="292"/>
      <c r="CM92" s="292"/>
      <c r="CN92" s="292"/>
      <c r="CO92" s="292"/>
      <c r="CP92" s="292"/>
      <c r="CQ92" s="292"/>
      <c r="CR92" s="292"/>
      <c r="CS92" s="292"/>
      <c r="CT92" s="292"/>
      <c r="CU92" s="292"/>
      <c r="CV92" s="292"/>
      <c r="CW92" s="292"/>
      <c r="CX92" s="292"/>
      <c r="CY92" s="292"/>
      <c r="CZ92" s="292"/>
      <c r="DA92" s="292"/>
      <c r="DB92" s="292"/>
      <c r="DC92" s="292"/>
      <c r="DD92" s="292"/>
      <c r="DE92" s="292"/>
      <c r="DF92" s="292"/>
      <c r="DG92" s="292"/>
      <c r="DH92" s="292"/>
      <c r="DI92" s="292"/>
      <c r="DJ92" s="292"/>
      <c r="DK92" s="292"/>
      <c r="DL92" s="292"/>
      <c r="DM92" s="292"/>
      <c r="DN92" s="292"/>
      <c r="DO92" s="292"/>
      <c r="DP92" s="292"/>
      <c r="DQ92" s="292"/>
      <c r="DR92" s="292"/>
      <c r="DS92" s="292"/>
      <c r="DT92" s="292"/>
      <c r="DU92" s="292"/>
      <c r="DV92" s="292"/>
      <c r="DW92" s="292"/>
      <c r="DX92" s="292"/>
      <c r="DY92" s="292"/>
      <c r="DZ92" s="292"/>
      <c r="EA92" s="292"/>
      <c r="EB92" s="292"/>
      <c r="EC92" s="292"/>
      <c r="ED92" s="292"/>
      <c r="EE92" s="292"/>
      <c r="EF92" s="292"/>
      <c r="EG92" s="292"/>
      <c r="EH92" s="292"/>
      <c r="EI92" s="292"/>
      <c r="EJ92" s="292"/>
      <c r="EK92" s="292"/>
      <c r="EL92" s="292"/>
      <c r="EM92" s="292"/>
      <c r="EN92" s="292"/>
      <c r="EO92" s="292"/>
      <c r="EP92" s="292"/>
      <c r="EQ92" s="292"/>
      <c r="ER92" s="292"/>
      <c r="ES92" s="292"/>
      <c r="ET92" s="292"/>
      <c r="EU92" s="292"/>
      <c r="EV92" s="292"/>
      <c r="EW92" s="292"/>
      <c r="EX92" s="292"/>
      <c r="EY92" s="292"/>
      <c r="EZ92" s="292"/>
      <c r="FA92" s="292"/>
      <c r="FB92" s="292"/>
      <c r="FC92" s="292"/>
      <c r="FD92" s="292"/>
      <c r="FE92" s="292"/>
      <c r="FF92" s="292"/>
      <c r="FG92" s="292"/>
      <c r="FH92" s="292"/>
      <c r="FI92" s="292"/>
      <c r="FJ92" s="292"/>
      <c r="FK92" s="292"/>
      <c r="FL92" s="292"/>
      <c r="FM92" s="292"/>
      <c r="FN92" s="292"/>
      <c r="FO92" s="292"/>
      <c r="FP92" s="292"/>
      <c r="FQ92" s="292"/>
      <c r="FR92" s="292"/>
      <c r="FS92" s="292"/>
      <c r="FT92" s="292"/>
      <c r="FU92" s="292"/>
      <c r="FV92" s="292"/>
      <c r="FW92" s="292"/>
      <c r="FX92" s="292"/>
      <c r="FY92" s="292"/>
      <c r="FZ92" s="292"/>
      <c r="GA92" s="292"/>
      <c r="GB92" s="292"/>
      <c r="GC92" s="292"/>
      <c r="GD92" s="292"/>
      <c r="GE92" s="292"/>
      <c r="GF92" s="292"/>
      <c r="GG92" s="292"/>
      <c r="GH92" s="292"/>
      <c r="GI92" s="292"/>
      <c r="GJ92" s="292"/>
      <c r="GK92" s="292"/>
      <c r="GL92" s="292"/>
      <c r="GM92" s="292"/>
      <c r="GN92" s="292"/>
      <c r="GO92" s="292"/>
      <c r="GP92" s="292"/>
      <c r="GQ92" s="292"/>
      <c r="GR92" s="292"/>
      <c r="GS92" s="292"/>
      <c r="GT92" s="292"/>
      <c r="GU92" s="292"/>
      <c r="GV92" s="292"/>
      <c r="GW92" s="292"/>
      <c r="GX92" s="292"/>
      <c r="GY92" s="292"/>
      <c r="GZ92" s="292"/>
      <c r="HA92" s="292"/>
      <c r="HB92" s="292"/>
      <c r="HC92" s="292"/>
      <c r="HD92" s="292"/>
      <c r="HE92" s="292"/>
      <c r="HF92" s="292"/>
      <c r="HG92" s="292"/>
      <c r="HH92" s="292"/>
      <c r="HI92" s="292"/>
      <c r="HJ92" s="292"/>
      <c r="HK92" s="292"/>
      <c r="HL92" s="292"/>
      <c r="HM92" s="292"/>
      <c r="HN92" s="292"/>
      <c r="HO92" s="292"/>
      <c r="HP92" s="292"/>
      <c r="HQ92" s="292"/>
      <c r="HR92" s="292"/>
      <c r="HS92" s="292"/>
      <c r="HT92" s="292"/>
      <c r="HU92" s="292"/>
      <c r="HV92" s="292"/>
      <c r="HW92" s="292"/>
    </row>
    <row r="93" spans="1:231" ht="14.1" customHeight="1">
      <c r="A93" s="292"/>
      <c r="B93" s="311"/>
      <c r="C93" s="311"/>
      <c r="E93" s="329"/>
      <c r="F93" s="292"/>
      <c r="G93" s="292"/>
      <c r="H93" s="292"/>
      <c r="I93" s="292"/>
      <c r="K93" s="926"/>
      <c r="L93" s="922"/>
      <c r="M93" s="922"/>
      <c r="N93" s="922"/>
      <c r="O93" s="922"/>
      <c r="P93" s="922"/>
      <c r="Q93" s="922"/>
      <c r="R93" s="922"/>
      <c r="S93" s="922"/>
      <c r="T93" s="922"/>
      <c r="U93" s="291"/>
      <c r="V93" s="291"/>
      <c r="W93" s="291"/>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2"/>
      <c r="AW93" s="292"/>
      <c r="AX93" s="292"/>
      <c r="AY93" s="292"/>
      <c r="AZ93" s="292"/>
      <c r="BA93" s="292"/>
      <c r="BB93" s="292"/>
      <c r="BC93" s="292"/>
      <c r="BD93" s="292"/>
      <c r="BE93" s="292"/>
      <c r="BF93" s="292"/>
      <c r="BG93" s="292"/>
      <c r="BH93" s="292"/>
      <c r="BI93" s="292"/>
      <c r="BJ93" s="292"/>
      <c r="BK93" s="292"/>
      <c r="BL93" s="292"/>
      <c r="BM93" s="292"/>
      <c r="BN93" s="292"/>
      <c r="BO93" s="292"/>
      <c r="BP93" s="292"/>
      <c r="BQ93" s="292"/>
      <c r="BR93" s="292"/>
      <c r="BS93" s="292"/>
      <c r="BT93" s="292"/>
      <c r="BU93" s="292"/>
      <c r="BV93" s="292"/>
      <c r="BW93" s="292"/>
      <c r="BX93" s="292"/>
      <c r="BY93" s="292"/>
      <c r="BZ93" s="292"/>
      <c r="CA93" s="292"/>
      <c r="CB93" s="292"/>
      <c r="CC93" s="292"/>
      <c r="CD93" s="292"/>
      <c r="CE93" s="292"/>
      <c r="CF93" s="292"/>
      <c r="CG93" s="292"/>
      <c r="CH93" s="292"/>
      <c r="CI93" s="292"/>
      <c r="CJ93" s="292"/>
      <c r="CK93" s="292"/>
      <c r="CL93" s="292"/>
      <c r="CM93" s="292"/>
      <c r="CN93" s="292"/>
      <c r="CO93" s="292"/>
      <c r="CP93" s="292"/>
      <c r="CQ93" s="292"/>
      <c r="CR93" s="292"/>
      <c r="CS93" s="292"/>
      <c r="CT93" s="292"/>
      <c r="CU93" s="292"/>
      <c r="CV93" s="292"/>
      <c r="CW93" s="292"/>
      <c r="CX93" s="292"/>
      <c r="CY93" s="292"/>
      <c r="CZ93" s="292"/>
      <c r="DA93" s="292"/>
      <c r="DB93" s="292"/>
      <c r="DC93" s="292"/>
      <c r="DD93" s="292"/>
      <c r="DE93" s="292"/>
      <c r="DF93" s="292"/>
      <c r="DG93" s="292"/>
      <c r="DH93" s="292"/>
      <c r="DI93" s="292"/>
      <c r="DJ93" s="292"/>
      <c r="DK93" s="292"/>
      <c r="DL93" s="292"/>
      <c r="DM93" s="292"/>
      <c r="DN93" s="292"/>
      <c r="DO93" s="292"/>
      <c r="DP93" s="292"/>
      <c r="DQ93" s="292"/>
      <c r="DR93" s="292"/>
      <c r="DS93" s="292"/>
      <c r="DT93" s="292"/>
      <c r="DU93" s="292"/>
      <c r="DV93" s="292"/>
      <c r="DW93" s="292"/>
      <c r="DX93" s="292"/>
      <c r="DY93" s="292"/>
      <c r="DZ93" s="292"/>
      <c r="EA93" s="292"/>
      <c r="EB93" s="292"/>
      <c r="EC93" s="292"/>
      <c r="ED93" s="292"/>
      <c r="EE93" s="292"/>
      <c r="EF93" s="292"/>
      <c r="EG93" s="292"/>
      <c r="EH93" s="292"/>
      <c r="EI93" s="292"/>
      <c r="EJ93" s="292"/>
      <c r="EK93" s="292"/>
      <c r="EL93" s="292"/>
      <c r="EM93" s="292"/>
      <c r="EN93" s="292"/>
      <c r="EO93" s="292"/>
      <c r="EP93" s="292"/>
      <c r="EQ93" s="292"/>
      <c r="ER93" s="292"/>
      <c r="ES93" s="292"/>
      <c r="ET93" s="292"/>
      <c r="EU93" s="292"/>
      <c r="EV93" s="292"/>
      <c r="EW93" s="292"/>
      <c r="EX93" s="292"/>
      <c r="EY93" s="292"/>
      <c r="EZ93" s="292"/>
      <c r="FA93" s="292"/>
      <c r="FB93" s="292"/>
      <c r="FC93" s="292"/>
      <c r="FD93" s="292"/>
      <c r="FE93" s="292"/>
      <c r="FF93" s="292"/>
      <c r="FG93" s="292"/>
      <c r="FH93" s="292"/>
      <c r="FI93" s="292"/>
      <c r="FJ93" s="292"/>
      <c r="FK93" s="292"/>
      <c r="FL93" s="292"/>
      <c r="FM93" s="292"/>
      <c r="FN93" s="292"/>
      <c r="FO93" s="292"/>
      <c r="FP93" s="292"/>
      <c r="FQ93" s="292"/>
      <c r="FR93" s="292"/>
      <c r="FS93" s="292"/>
      <c r="FT93" s="292"/>
      <c r="FU93" s="292"/>
      <c r="FV93" s="292"/>
      <c r="FW93" s="292"/>
      <c r="FX93" s="292"/>
      <c r="FY93" s="292"/>
      <c r="FZ93" s="292"/>
      <c r="GA93" s="292"/>
      <c r="GB93" s="292"/>
      <c r="GC93" s="292"/>
      <c r="GD93" s="292"/>
      <c r="GE93" s="292"/>
      <c r="GF93" s="292"/>
      <c r="GG93" s="292"/>
      <c r="GH93" s="292"/>
      <c r="GI93" s="292"/>
      <c r="GJ93" s="292"/>
      <c r="GK93" s="292"/>
      <c r="GL93" s="292"/>
      <c r="GM93" s="292"/>
      <c r="GN93" s="292"/>
      <c r="GO93" s="292"/>
      <c r="GP93" s="292"/>
      <c r="GQ93" s="292"/>
      <c r="GR93" s="292"/>
      <c r="GS93" s="292"/>
      <c r="GT93" s="292"/>
      <c r="GU93" s="292"/>
      <c r="GV93" s="292"/>
      <c r="GW93" s="292"/>
      <c r="GX93" s="292"/>
      <c r="GY93" s="292"/>
      <c r="GZ93" s="292"/>
      <c r="HA93" s="292"/>
      <c r="HB93" s="292"/>
      <c r="HC93" s="292"/>
      <c r="HD93" s="292"/>
      <c r="HE93" s="292"/>
      <c r="HF93" s="292"/>
      <c r="HG93" s="292"/>
      <c r="HH93" s="292"/>
      <c r="HI93" s="292"/>
      <c r="HJ93" s="292"/>
      <c r="HK93" s="292"/>
      <c r="HL93" s="292"/>
      <c r="HM93" s="292"/>
      <c r="HN93" s="292"/>
      <c r="HO93" s="292"/>
      <c r="HP93" s="292"/>
      <c r="HQ93" s="292"/>
      <c r="HR93" s="292"/>
      <c r="HS93" s="292"/>
      <c r="HT93" s="292"/>
      <c r="HU93" s="292"/>
      <c r="HV93" s="292"/>
      <c r="HW93" s="292"/>
    </row>
    <row r="94" spans="1:231" ht="14.1" customHeight="1">
      <c r="A94" s="292"/>
      <c r="B94" s="311"/>
      <c r="C94" s="311"/>
      <c r="E94" s="329"/>
      <c r="F94" s="292"/>
      <c r="G94" s="292"/>
      <c r="H94" s="292"/>
      <c r="I94" s="292"/>
      <c r="K94" s="926"/>
      <c r="L94" s="922"/>
      <c r="M94" s="922"/>
      <c r="N94" s="922"/>
      <c r="O94" s="922"/>
      <c r="P94" s="922"/>
      <c r="Q94" s="922"/>
      <c r="R94" s="922"/>
      <c r="S94" s="922"/>
      <c r="T94" s="922"/>
      <c r="U94" s="291"/>
      <c r="V94" s="291"/>
      <c r="W94" s="291"/>
      <c r="X94" s="292"/>
      <c r="Y94" s="292"/>
      <c r="Z94" s="292"/>
      <c r="AA94" s="292"/>
      <c r="AB94" s="292"/>
      <c r="AC94" s="292"/>
      <c r="AD94" s="292"/>
      <c r="AE94" s="292"/>
      <c r="AF94" s="292"/>
      <c r="AG94" s="292"/>
      <c r="AH94" s="292"/>
      <c r="AI94" s="292"/>
      <c r="AJ94" s="292"/>
      <c r="AK94" s="292"/>
      <c r="AL94" s="292"/>
      <c r="AM94" s="292"/>
      <c r="AN94" s="292"/>
      <c r="AO94" s="292"/>
      <c r="AP94" s="292"/>
      <c r="AQ94" s="292"/>
      <c r="AR94" s="292"/>
      <c r="AS94" s="292"/>
      <c r="AT94" s="292"/>
      <c r="AU94" s="292"/>
      <c r="AV94" s="292"/>
      <c r="AW94" s="292"/>
      <c r="AX94" s="292"/>
      <c r="AY94" s="292"/>
      <c r="AZ94" s="292"/>
      <c r="BA94" s="292"/>
      <c r="BB94" s="292"/>
      <c r="BC94" s="292"/>
      <c r="BD94" s="292"/>
      <c r="BE94" s="292"/>
      <c r="BF94" s="292"/>
      <c r="BG94" s="292"/>
      <c r="BH94" s="292"/>
      <c r="BI94" s="292"/>
      <c r="BJ94" s="292"/>
      <c r="BK94" s="292"/>
      <c r="BL94" s="292"/>
      <c r="BM94" s="292"/>
      <c r="BN94" s="292"/>
      <c r="BO94" s="292"/>
      <c r="BP94" s="292"/>
      <c r="BQ94" s="292"/>
      <c r="BR94" s="292"/>
      <c r="BS94" s="292"/>
      <c r="BT94" s="292"/>
      <c r="BU94" s="292"/>
      <c r="BV94" s="292"/>
      <c r="BW94" s="292"/>
      <c r="BX94" s="292"/>
      <c r="BY94" s="292"/>
      <c r="BZ94" s="292"/>
      <c r="CA94" s="292"/>
      <c r="CB94" s="292"/>
      <c r="CC94" s="292"/>
      <c r="CD94" s="292"/>
      <c r="CE94" s="292"/>
      <c r="CF94" s="292"/>
      <c r="CG94" s="292"/>
      <c r="CH94" s="292"/>
      <c r="CI94" s="292"/>
      <c r="CJ94" s="292"/>
      <c r="CK94" s="292"/>
      <c r="CL94" s="292"/>
      <c r="CM94" s="292"/>
      <c r="CN94" s="292"/>
      <c r="CO94" s="292"/>
      <c r="CP94" s="292"/>
      <c r="CQ94" s="292"/>
      <c r="CR94" s="292"/>
      <c r="CS94" s="292"/>
      <c r="CT94" s="292"/>
      <c r="CU94" s="292"/>
      <c r="CV94" s="292"/>
      <c r="CW94" s="292"/>
      <c r="CX94" s="292"/>
      <c r="CY94" s="292"/>
      <c r="CZ94" s="292"/>
      <c r="DA94" s="292"/>
      <c r="DB94" s="292"/>
      <c r="DC94" s="292"/>
      <c r="DD94" s="292"/>
      <c r="DE94" s="292"/>
      <c r="DF94" s="292"/>
      <c r="DG94" s="292"/>
      <c r="DH94" s="292"/>
      <c r="DI94" s="292"/>
      <c r="DJ94" s="292"/>
      <c r="DK94" s="292"/>
      <c r="DL94" s="292"/>
      <c r="DM94" s="292"/>
      <c r="DN94" s="292"/>
      <c r="DO94" s="292"/>
      <c r="DP94" s="292"/>
      <c r="DQ94" s="292"/>
      <c r="DR94" s="292"/>
      <c r="DS94" s="292"/>
      <c r="DT94" s="292"/>
      <c r="DU94" s="292"/>
      <c r="DV94" s="292"/>
      <c r="DW94" s="292"/>
      <c r="DX94" s="292"/>
      <c r="DY94" s="292"/>
      <c r="DZ94" s="292"/>
      <c r="EA94" s="292"/>
      <c r="EB94" s="292"/>
      <c r="EC94" s="292"/>
      <c r="ED94" s="292"/>
      <c r="EE94" s="292"/>
      <c r="EF94" s="292"/>
      <c r="EG94" s="292"/>
      <c r="EH94" s="292"/>
      <c r="EI94" s="292"/>
      <c r="EJ94" s="292"/>
      <c r="EK94" s="292"/>
      <c r="EL94" s="292"/>
      <c r="EM94" s="292"/>
      <c r="EN94" s="292"/>
      <c r="EO94" s="292"/>
      <c r="EP94" s="292"/>
      <c r="EQ94" s="292"/>
      <c r="ER94" s="292"/>
      <c r="ES94" s="292"/>
      <c r="ET94" s="292"/>
      <c r="EU94" s="292"/>
      <c r="EV94" s="292"/>
      <c r="EW94" s="292"/>
      <c r="EX94" s="292"/>
      <c r="EY94" s="292"/>
      <c r="EZ94" s="292"/>
      <c r="FA94" s="292"/>
      <c r="FB94" s="292"/>
      <c r="FC94" s="292"/>
      <c r="FD94" s="292"/>
      <c r="FE94" s="292"/>
      <c r="FF94" s="292"/>
      <c r="FG94" s="292"/>
      <c r="FH94" s="292"/>
      <c r="FI94" s="292"/>
      <c r="FJ94" s="292"/>
      <c r="FK94" s="292"/>
      <c r="FL94" s="292"/>
      <c r="FM94" s="292"/>
      <c r="FN94" s="292"/>
      <c r="FO94" s="292"/>
      <c r="FP94" s="292"/>
      <c r="FQ94" s="292"/>
      <c r="FR94" s="292"/>
      <c r="FS94" s="292"/>
      <c r="FT94" s="292"/>
      <c r="FU94" s="292"/>
      <c r="FV94" s="292"/>
      <c r="FW94" s="292"/>
      <c r="FX94" s="292"/>
      <c r="FY94" s="292"/>
      <c r="FZ94" s="292"/>
      <c r="GA94" s="292"/>
      <c r="GB94" s="292"/>
      <c r="GC94" s="292"/>
      <c r="GD94" s="292"/>
      <c r="GE94" s="292"/>
      <c r="GF94" s="292"/>
      <c r="GG94" s="292"/>
      <c r="GH94" s="292"/>
      <c r="GI94" s="292"/>
      <c r="GJ94" s="292"/>
      <c r="GK94" s="292"/>
      <c r="GL94" s="292"/>
      <c r="GM94" s="292"/>
      <c r="GN94" s="292"/>
      <c r="GO94" s="292"/>
      <c r="GP94" s="292"/>
      <c r="GQ94" s="292"/>
      <c r="GR94" s="292"/>
      <c r="GS94" s="292"/>
      <c r="GT94" s="292"/>
      <c r="GU94" s="292"/>
      <c r="GV94" s="292"/>
      <c r="GW94" s="292"/>
      <c r="GX94" s="292"/>
      <c r="GY94" s="292"/>
      <c r="GZ94" s="292"/>
      <c r="HA94" s="292"/>
      <c r="HB94" s="292"/>
      <c r="HC94" s="292"/>
      <c r="HD94" s="292"/>
      <c r="HE94" s="292"/>
      <c r="HF94" s="292"/>
      <c r="HG94" s="292"/>
      <c r="HH94" s="292"/>
      <c r="HI94" s="292"/>
      <c r="HJ94" s="292"/>
      <c r="HK94" s="292"/>
      <c r="HL94" s="292"/>
      <c r="HM94" s="292"/>
      <c r="HN94" s="292"/>
      <c r="HO94" s="292"/>
      <c r="HP94" s="292"/>
      <c r="HQ94" s="292"/>
      <c r="HR94" s="292"/>
      <c r="HS94" s="292"/>
      <c r="HT94" s="292"/>
      <c r="HU94" s="292"/>
      <c r="HV94" s="292"/>
      <c r="HW94" s="292"/>
    </row>
    <row r="95" spans="1:231" ht="14.1" customHeight="1">
      <c r="A95" s="292"/>
      <c r="B95" s="311"/>
      <c r="C95" s="311"/>
      <c r="E95" s="329"/>
      <c r="F95" s="292"/>
      <c r="G95" s="292"/>
      <c r="H95" s="292"/>
      <c r="I95" s="292"/>
      <c r="K95" s="926"/>
      <c r="L95" s="922"/>
      <c r="M95" s="922"/>
      <c r="N95" s="922"/>
      <c r="O95" s="922"/>
      <c r="P95" s="922"/>
      <c r="Q95" s="922"/>
      <c r="R95" s="922"/>
      <c r="S95" s="922"/>
      <c r="T95" s="922"/>
      <c r="U95" s="291"/>
      <c r="V95" s="291"/>
      <c r="W95" s="291"/>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c r="AT95" s="292"/>
      <c r="AU95" s="292"/>
      <c r="AV95" s="292"/>
      <c r="AW95" s="292"/>
      <c r="AX95" s="292"/>
      <c r="AY95" s="292"/>
      <c r="AZ95" s="292"/>
      <c r="BA95" s="292"/>
      <c r="BB95" s="292"/>
      <c r="BC95" s="292"/>
      <c r="BD95" s="292"/>
      <c r="BE95" s="292"/>
      <c r="BF95" s="292"/>
      <c r="BG95" s="292"/>
      <c r="BH95" s="292"/>
      <c r="BI95" s="292"/>
      <c r="BJ95" s="292"/>
      <c r="BK95" s="292"/>
      <c r="BL95" s="292"/>
      <c r="BM95" s="292"/>
      <c r="BN95" s="292"/>
      <c r="BO95" s="292"/>
      <c r="BP95" s="292"/>
      <c r="BQ95" s="292"/>
      <c r="BR95" s="292"/>
      <c r="BS95" s="292"/>
      <c r="BT95" s="292"/>
      <c r="BU95" s="292"/>
      <c r="BV95" s="292"/>
      <c r="BW95" s="292"/>
      <c r="BX95" s="292"/>
      <c r="BY95" s="292"/>
      <c r="BZ95" s="292"/>
      <c r="CA95" s="292"/>
      <c r="CB95" s="292"/>
      <c r="CC95" s="292"/>
      <c r="CD95" s="292"/>
      <c r="CE95" s="292"/>
      <c r="CF95" s="292"/>
      <c r="CG95" s="292"/>
      <c r="CH95" s="292"/>
      <c r="CI95" s="292"/>
      <c r="CJ95" s="292"/>
      <c r="CK95" s="292"/>
      <c r="CL95" s="292"/>
      <c r="CM95" s="292"/>
      <c r="CN95" s="292"/>
      <c r="CO95" s="292"/>
      <c r="CP95" s="292"/>
      <c r="CQ95" s="292"/>
      <c r="CR95" s="292"/>
      <c r="CS95" s="292"/>
      <c r="CT95" s="292"/>
      <c r="CU95" s="292"/>
      <c r="CV95" s="292"/>
      <c r="CW95" s="292"/>
      <c r="CX95" s="292"/>
      <c r="CY95" s="292"/>
      <c r="CZ95" s="292"/>
      <c r="DA95" s="292"/>
      <c r="DB95" s="292"/>
      <c r="DC95" s="292"/>
      <c r="DD95" s="292"/>
      <c r="DE95" s="292"/>
      <c r="DF95" s="292"/>
      <c r="DG95" s="292"/>
      <c r="DH95" s="292"/>
      <c r="DI95" s="292"/>
      <c r="DJ95" s="292"/>
      <c r="DK95" s="292"/>
      <c r="DL95" s="292"/>
      <c r="DM95" s="292"/>
      <c r="DN95" s="292"/>
      <c r="DO95" s="292"/>
      <c r="DP95" s="292"/>
      <c r="DQ95" s="292"/>
      <c r="DR95" s="292"/>
      <c r="DS95" s="292"/>
      <c r="DT95" s="292"/>
      <c r="DU95" s="292"/>
      <c r="DV95" s="292"/>
      <c r="DW95" s="292"/>
      <c r="DX95" s="292"/>
      <c r="DY95" s="292"/>
      <c r="DZ95" s="292"/>
      <c r="EA95" s="292"/>
      <c r="EB95" s="292"/>
      <c r="EC95" s="292"/>
      <c r="ED95" s="292"/>
      <c r="EE95" s="292"/>
      <c r="EF95" s="292"/>
      <c r="EG95" s="292"/>
      <c r="EH95" s="292"/>
      <c r="EI95" s="292"/>
      <c r="EJ95" s="292"/>
      <c r="EK95" s="292"/>
      <c r="EL95" s="292"/>
      <c r="EM95" s="292"/>
      <c r="EN95" s="292"/>
      <c r="EO95" s="292"/>
      <c r="EP95" s="292"/>
      <c r="EQ95" s="292"/>
      <c r="ER95" s="292"/>
      <c r="ES95" s="292"/>
      <c r="ET95" s="292"/>
      <c r="EU95" s="292"/>
      <c r="EV95" s="292"/>
      <c r="EW95" s="292"/>
      <c r="EX95" s="292"/>
      <c r="EY95" s="292"/>
      <c r="EZ95" s="292"/>
      <c r="FA95" s="292"/>
      <c r="FB95" s="292"/>
      <c r="FC95" s="292"/>
      <c r="FD95" s="292"/>
      <c r="FE95" s="292"/>
      <c r="FF95" s="292"/>
      <c r="FG95" s="292"/>
      <c r="FH95" s="292"/>
      <c r="FI95" s="292"/>
      <c r="FJ95" s="292"/>
      <c r="FK95" s="292"/>
      <c r="FL95" s="292"/>
      <c r="FM95" s="292"/>
      <c r="FN95" s="292"/>
      <c r="FO95" s="292"/>
      <c r="FP95" s="292"/>
      <c r="FQ95" s="292"/>
      <c r="FR95" s="292"/>
      <c r="FS95" s="292"/>
      <c r="FT95" s="292"/>
      <c r="FU95" s="292"/>
      <c r="FV95" s="292"/>
      <c r="FW95" s="292"/>
      <c r="FX95" s="292"/>
      <c r="FY95" s="292"/>
      <c r="FZ95" s="292"/>
      <c r="GA95" s="292"/>
      <c r="GB95" s="292"/>
      <c r="GC95" s="292"/>
      <c r="GD95" s="292"/>
      <c r="GE95" s="292"/>
      <c r="GF95" s="292"/>
      <c r="GG95" s="292"/>
      <c r="GH95" s="292"/>
      <c r="GI95" s="292"/>
      <c r="GJ95" s="292"/>
      <c r="GK95" s="292"/>
      <c r="GL95" s="292"/>
      <c r="GM95" s="292"/>
      <c r="GN95" s="292"/>
      <c r="GO95" s="292"/>
      <c r="GP95" s="292"/>
      <c r="GQ95" s="292"/>
      <c r="GR95" s="292"/>
      <c r="GS95" s="292"/>
      <c r="GT95" s="292"/>
      <c r="GU95" s="292"/>
      <c r="GV95" s="292"/>
      <c r="GW95" s="292"/>
      <c r="GX95" s="292"/>
      <c r="GY95" s="292"/>
      <c r="GZ95" s="292"/>
      <c r="HA95" s="292"/>
      <c r="HB95" s="292"/>
      <c r="HC95" s="292"/>
      <c r="HD95" s="292"/>
      <c r="HE95" s="292"/>
      <c r="HF95" s="292"/>
      <c r="HG95" s="292"/>
      <c r="HH95" s="292"/>
      <c r="HI95" s="292"/>
      <c r="HJ95" s="292"/>
      <c r="HK95" s="292"/>
      <c r="HL95" s="292"/>
      <c r="HM95" s="292"/>
      <c r="HN95" s="292"/>
      <c r="HO95" s="292"/>
      <c r="HP95" s="292"/>
      <c r="HQ95" s="292"/>
      <c r="HR95" s="292"/>
      <c r="HS95" s="292"/>
      <c r="HT95" s="292"/>
      <c r="HU95" s="292"/>
      <c r="HV95" s="292"/>
      <c r="HW95" s="292"/>
    </row>
    <row r="96" spans="1:231" ht="14.1" customHeight="1">
      <c r="A96" s="292"/>
      <c r="B96" s="311"/>
      <c r="C96" s="311"/>
      <c r="E96" s="329"/>
      <c r="F96" s="292"/>
      <c r="G96" s="292"/>
      <c r="H96" s="292"/>
      <c r="I96" s="292"/>
      <c r="K96" s="926"/>
      <c r="L96" s="922"/>
      <c r="M96" s="922"/>
      <c r="N96" s="922"/>
      <c r="O96" s="922"/>
      <c r="P96" s="922"/>
      <c r="Q96" s="922"/>
      <c r="R96" s="922"/>
      <c r="S96" s="922"/>
      <c r="T96" s="922"/>
      <c r="U96" s="291"/>
      <c r="V96" s="291"/>
      <c r="W96" s="291"/>
      <c r="X96" s="292"/>
      <c r="Y96" s="292"/>
      <c r="Z96" s="292"/>
      <c r="AA96" s="292"/>
      <c r="AB96" s="292"/>
      <c r="AC96" s="292"/>
      <c r="AD96" s="292"/>
      <c r="AE96" s="292"/>
      <c r="AF96" s="292"/>
      <c r="AG96" s="292"/>
      <c r="AH96" s="292"/>
      <c r="AI96" s="292"/>
      <c r="AJ96" s="292"/>
      <c r="AK96" s="292"/>
      <c r="AL96" s="292"/>
      <c r="AM96" s="292"/>
      <c r="AN96" s="292"/>
      <c r="AO96" s="292"/>
      <c r="AP96" s="292"/>
      <c r="AQ96" s="292"/>
      <c r="AR96" s="292"/>
      <c r="AS96" s="292"/>
      <c r="AT96" s="292"/>
      <c r="AU96" s="292"/>
      <c r="AV96" s="292"/>
      <c r="AW96" s="292"/>
      <c r="AX96" s="292"/>
      <c r="AY96" s="292"/>
      <c r="AZ96" s="292"/>
      <c r="BA96" s="292"/>
      <c r="BB96" s="292"/>
      <c r="BC96" s="292"/>
      <c r="BD96" s="292"/>
      <c r="BE96" s="292"/>
      <c r="BF96" s="292"/>
      <c r="BG96" s="292"/>
      <c r="BH96" s="292"/>
      <c r="BI96" s="292"/>
      <c r="BJ96" s="292"/>
      <c r="BK96" s="292"/>
      <c r="BL96" s="292"/>
      <c r="BM96" s="292"/>
      <c r="BN96" s="292"/>
      <c r="BO96" s="292"/>
      <c r="BP96" s="292"/>
      <c r="BQ96" s="292"/>
      <c r="BR96" s="292"/>
      <c r="BS96" s="292"/>
      <c r="BT96" s="292"/>
      <c r="BU96" s="292"/>
      <c r="BV96" s="292"/>
      <c r="BW96" s="292"/>
      <c r="BX96" s="292"/>
      <c r="BY96" s="292"/>
      <c r="BZ96" s="292"/>
      <c r="CA96" s="292"/>
      <c r="CB96" s="292"/>
      <c r="CC96" s="292"/>
      <c r="CD96" s="292"/>
      <c r="CE96" s="292"/>
      <c r="CF96" s="292"/>
      <c r="CG96" s="292"/>
      <c r="CH96" s="292"/>
      <c r="CI96" s="292"/>
      <c r="CJ96" s="292"/>
      <c r="CK96" s="292"/>
      <c r="CL96" s="292"/>
      <c r="CM96" s="292"/>
      <c r="CN96" s="292"/>
      <c r="CO96" s="292"/>
      <c r="CP96" s="292"/>
      <c r="CQ96" s="292"/>
      <c r="CR96" s="292"/>
      <c r="CS96" s="292"/>
      <c r="CT96" s="292"/>
      <c r="CU96" s="292"/>
      <c r="CV96" s="292"/>
      <c r="CW96" s="292"/>
      <c r="CX96" s="292"/>
      <c r="CY96" s="292"/>
      <c r="CZ96" s="292"/>
      <c r="DA96" s="292"/>
      <c r="DB96" s="292"/>
      <c r="DC96" s="292"/>
      <c r="DD96" s="292"/>
      <c r="DE96" s="292"/>
      <c r="DF96" s="292"/>
      <c r="DG96" s="292"/>
      <c r="DH96" s="292"/>
      <c r="DI96" s="292"/>
      <c r="DJ96" s="292"/>
      <c r="DK96" s="292"/>
      <c r="DL96" s="292"/>
      <c r="DM96" s="292"/>
      <c r="DN96" s="292"/>
      <c r="DO96" s="292"/>
      <c r="DP96" s="292"/>
      <c r="DQ96" s="292"/>
      <c r="DR96" s="292"/>
      <c r="DS96" s="292"/>
      <c r="DT96" s="292"/>
      <c r="DU96" s="292"/>
      <c r="DV96" s="292"/>
      <c r="DW96" s="292"/>
      <c r="DX96" s="292"/>
      <c r="DY96" s="292"/>
      <c r="DZ96" s="292"/>
      <c r="EA96" s="292"/>
      <c r="EB96" s="292"/>
      <c r="EC96" s="292"/>
      <c r="ED96" s="292"/>
      <c r="EE96" s="292"/>
      <c r="EF96" s="292"/>
      <c r="EG96" s="292"/>
      <c r="EH96" s="292"/>
      <c r="EI96" s="292"/>
      <c r="EJ96" s="292"/>
      <c r="EK96" s="292"/>
      <c r="EL96" s="292"/>
      <c r="EM96" s="292"/>
      <c r="EN96" s="292"/>
      <c r="EO96" s="292"/>
      <c r="EP96" s="292"/>
      <c r="EQ96" s="292"/>
      <c r="ER96" s="292"/>
      <c r="ES96" s="292"/>
      <c r="ET96" s="292"/>
      <c r="EU96" s="292"/>
      <c r="EV96" s="292"/>
      <c r="EW96" s="292"/>
      <c r="EX96" s="292"/>
      <c r="EY96" s="292"/>
      <c r="EZ96" s="292"/>
      <c r="FA96" s="292"/>
      <c r="FB96" s="292"/>
      <c r="FC96" s="292"/>
      <c r="FD96" s="292"/>
      <c r="FE96" s="292"/>
      <c r="FF96" s="292"/>
      <c r="FG96" s="292"/>
      <c r="FH96" s="292"/>
      <c r="FI96" s="292"/>
      <c r="FJ96" s="292"/>
      <c r="FK96" s="292"/>
      <c r="FL96" s="292"/>
      <c r="FM96" s="292"/>
      <c r="FN96" s="292"/>
      <c r="FO96" s="292"/>
      <c r="FP96" s="292"/>
      <c r="FQ96" s="292"/>
      <c r="FR96" s="292"/>
      <c r="FS96" s="292"/>
      <c r="FT96" s="292"/>
      <c r="FU96" s="292"/>
      <c r="FV96" s="292"/>
      <c r="FW96" s="292"/>
      <c r="FX96" s="292"/>
      <c r="FY96" s="292"/>
      <c r="FZ96" s="292"/>
      <c r="GA96" s="292"/>
      <c r="GB96" s="292"/>
      <c r="GC96" s="292"/>
      <c r="GD96" s="292"/>
      <c r="GE96" s="292"/>
      <c r="GF96" s="292"/>
      <c r="GG96" s="292"/>
      <c r="GH96" s="292"/>
      <c r="GI96" s="292"/>
      <c r="GJ96" s="292"/>
      <c r="GK96" s="292"/>
      <c r="GL96" s="292"/>
      <c r="GM96" s="292"/>
      <c r="GN96" s="292"/>
      <c r="GO96" s="292"/>
      <c r="GP96" s="292"/>
      <c r="GQ96" s="292"/>
      <c r="GR96" s="292"/>
      <c r="GS96" s="292"/>
      <c r="GT96" s="292"/>
      <c r="GU96" s="292"/>
      <c r="GV96" s="292"/>
      <c r="GW96" s="292"/>
      <c r="GX96" s="292"/>
      <c r="GY96" s="292"/>
      <c r="GZ96" s="292"/>
      <c r="HA96" s="292"/>
      <c r="HB96" s="292"/>
      <c r="HC96" s="292"/>
      <c r="HD96" s="292"/>
      <c r="HE96" s="292"/>
      <c r="HF96" s="292"/>
      <c r="HG96" s="292"/>
      <c r="HH96" s="292"/>
      <c r="HI96" s="292"/>
      <c r="HJ96" s="292"/>
      <c r="HK96" s="292"/>
      <c r="HL96" s="292"/>
      <c r="HM96" s="292"/>
      <c r="HN96" s="292"/>
      <c r="HO96" s="292"/>
      <c r="HP96" s="292"/>
      <c r="HQ96" s="292"/>
      <c r="HR96" s="292"/>
      <c r="HS96" s="292"/>
      <c r="HT96" s="292"/>
      <c r="HU96" s="292"/>
      <c r="HV96" s="292"/>
      <c r="HW96" s="292"/>
    </row>
    <row r="97" spans="1:231" ht="14.1" customHeight="1">
      <c r="A97" s="292"/>
      <c r="B97" s="311"/>
      <c r="C97" s="311"/>
      <c r="E97" s="329"/>
      <c r="F97" s="292"/>
      <c r="G97" s="292"/>
      <c r="H97" s="292"/>
      <c r="I97" s="292"/>
      <c r="K97" s="926"/>
      <c r="L97" s="922"/>
      <c r="M97" s="922"/>
      <c r="N97" s="922"/>
      <c r="O97" s="922"/>
      <c r="P97" s="922"/>
      <c r="Q97" s="922"/>
      <c r="R97" s="922"/>
      <c r="S97" s="922"/>
      <c r="T97" s="922"/>
      <c r="U97" s="291"/>
      <c r="V97" s="291"/>
      <c r="W97" s="291"/>
      <c r="X97" s="292"/>
      <c r="Y97" s="292"/>
      <c r="Z97" s="292"/>
      <c r="AA97" s="292"/>
      <c r="AB97" s="292"/>
      <c r="AC97" s="292"/>
      <c r="AD97" s="292"/>
      <c r="AE97" s="292"/>
      <c r="AF97" s="292"/>
      <c r="AG97" s="292"/>
      <c r="AH97" s="292"/>
      <c r="AI97" s="292"/>
      <c r="AJ97" s="292"/>
      <c r="AK97" s="292"/>
      <c r="AL97" s="292"/>
      <c r="AM97" s="292"/>
      <c r="AN97" s="292"/>
      <c r="AO97" s="292"/>
      <c r="AP97" s="292"/>
      <c r="AQ97" s="292"/>
      <c r="AR97" s="292"/>
      <c r="AS97" s="292"/>
      <c r="AT97" s="292"/>
      <c r="AU97" s="292"/>
      <c r="AV97" s="292"/>
      <c r="AW97" s="292"/>
      <c r="AX97" s="292"/>
      <c r="AY97" s="292"/>
      <c r="AZ97" s="292"/>
      <c r="BA97" s="292"/>
      <c r="BB97" s="292"/>
      <c r="BC97" s="292"/>
      <c r="BD97" s="292"/>
      <c r="BE97" s="292"/>
      <c r="BF97" s="292"/>
      <c r="BG97" s="292"/>
      <c r="BH97" s="292"/>
      <c r="BI97" s="292"/>
      <c r="BJ97" s="292"/>
      <c r="BK97" s="292"/>
      <c r="BL97" s="292"/>
      <c r="BM97" s="292"/>
      <c r="BN97" s="292"/>
      <c r="BO97" s="292"/>
      <c r="BP97" s="292"/>
      <c r="BQ97" s="292"/>
      <c r="BR97" s="292"/>
      <c r="BS97" s="292"/>
      <c r="BT97" s="292"/>
      <c r="BU97" s="292"/>
      <c r="BV97" s="292"/>
      <c r="BW97" s="292"/>
      <c r="BX97" s="292"/>
      <c r="BY97" s="292"/>
      <c r="BZ97" s="292"/>
      <c r="CA97" s="292"/>
      <c r="CB97" s="292"/>
      <c r="CC97" s="292"/>
      <c r="CD97" s="292"/>
      <c r="CE97" s="292"/>
      <c r="CF97" s="292"/>
      <c r="CG97" s="292"/>
      <c r="CH97" s="292"/>
      <c r="CI97" s="292"/>
      <c r="CJ97" s="292"/>
      <c r="CK97" s="292"/>
      <c r="CL97" s="292"/>
      <c r="CM97" s="292"/>
      <c r="CN97" s="292"/>
      <c r="CO97" s="292"/>
      <c r="CP97" s="292"/>
      <c r="CQ97" s="292"/>
      <c r="CR97" s="292"/>
      <c r="CS97" s="292"/>
      <c r="CT97" s="292"/>
      <c r="CU97" s="292"/>
      <c r="CV97" s="292"/>
      <c r="CW97" s="292"/>
      <c r="CX97" s="292"/>
      <c r="CY97" s="292"/>
      <c r="CZ97" s="292"/>
      <c r="DA97" s="292"/>
      <c r="DB97" s="292"/>
      <c r="DC97" s="292"/>
      <c r="DD97" s="292"/>
      <c r="DE97" s="292"/>
      <c r="DF97" s="292"/>
      <c r="DG97" s="292"/>
      <c r="DH97" s="292"/>
      <c r="DI97" s="292"/>
      <c r="DJ97" s="292"/>
      <c r="DK97" s="292"/>
      <c r="DL97" s="292"/>
      <c r="DM97" s="292"/>
      <c r="DN97" s="292"/>
      <c r="DO97" s="292"/>
      <c r="DP97" s="292"/>
      <c r="DQ97" s="292"/>
      <c r="DR97" s="292"/>
      <c r="DS97" s="292"/>
      <c r="DT97" s="292"/>
      <c r="DU97" s="292"/>
      <c r="DV97" s="292"/>
      <c r="DW97" s="292"/>
      <c r="DX97" s="292"/>
      <c r="DY97" s="292"/>
      <c r="DZ97" s="292"/>
      <c r="EA97" s="292"/>
      <c r="EB97" s="292"/>
      <c r="EC97" s="292"/>
      <c r="ED97" s="292"/>
      <c r="EE97" s="292"/>
      <c r="EF97" s="292"/>
      <c r="EG97" s="292"/>
      <c r="EH97" s="292"/>
      <c r="EI97" s="292"/>
      <c r="EJ97" s="292"/>
      <c r="EK97" s="292"/>
      <c r="EL97" s="292"/>
      <c r="EM97" s="292"/>
      <c r="EN97" s="292"/>
      <c r="EO97" s="292"/>
      <c r="EP97" s="292"/>
      <c r="EQ97" s="292"/>
      <c r="ER97" s="292"/>
      <c r="ES97" s="292"/>
      <c r="ET97" s="292"/>
      <c r="EU97" s="292"/>
      <c r="EV97" s="292"/>
      <c r="EW97" s="292"/>
      <c r="EX97" s="292"/>
      <c r="EY97" s="292"/>
      <c r="EZ97" s="292"/>
      <c r="FA97" s="292"/>
      <c r="FB97" s="292"/>
      <c r="FC97" s="292"/>
      <c r="FD97" s="292"/>
      <c r="FE97" s="292"/>
      <c r="FF97" s="292"/>
      <c r="FG97" s="292"/>
      <c r="FH97" s="292"/>
      <c r="FI97" s="292"/>
      <c r="FJ97" s="292"/>
      <c r="FK97" s="292"/>
      <c r="FL97" s="292"/>
      <c r="FM97" s="292"/>
      <c r="FN97" s="292"/>
      <c r="FO97" s="292"/>
      <c r="FP97" s="292"/>
      <c r="FQ97" s="292"/>
      <c r="FR97" s="292"/>
      <c r="FS97" s="292"/>
      <c r="FT97" s="292"/>
      <c r="FU97" s="292"/>
      <c r="FV97" s="292"/>
      <c r="FW97" s="292"/>
      <c r="FX97" s="292"/>
      <c r="FY97" s="292"/>
      <c r="FZ97" s="292"/>
      <c r="GA97" s="292"/>
      <c r="GB97" s="292"/>
      <c r="GC97" s="292"/>
      <c r="GD97" s="292"/>
      <c r="GE97" s="292"/>
      <c r="GF97" s="292"/>
      <c r="GG97" s="292"/>
      <c r="GH97" s="292"/>
      <c r="GI97" s="292"/>
      <c r="GJ97" s="292"/>
      <c r="GK97" s="292"/>
      <c r="GL97" s="292"/>
      <c r="GM97" s="292"/>
      <c r="GN97" s="292"/>
      <c r="GO97" s="292"/>
      <c r="GP97" s="292"/>
      <c r="GQ97" s="292"/>
      <c r="GR97" s="292"/>
      <c r="GS97" s="292"/>
      <c r="GT97" s="292"/>
      <c r="GU97" s="292"/>
      <c r="GV97" s="292"/>
      <c r="GW97" s="292"/>
      <c r="GX97" s="292"/>
      <c r="GY97" s="292"/>
      <c r="GZ97" s="292"/>
      <c r="HA97" s="292"/>
      <c r="HB97" s="292"/>
      <c r="HC97" s="292"/>
      <c r="HD97" s="292"/>
      <c r="HE97" s="292"/>
      <c r="HF97" s="292"/>
      <c r="HG97" s="292"/>
      <c r="HH97" s="292"/>
      <c r="HI97" s="292"/>
      <c r="HJ97" s="292"/>
      <c r="HK97" s="292"/>
      <c r="HL97" s="292"/>
      <c r="HM97" s="292"/>
      <c r="HN97" s="292"/>
      <c r="HO97" s="292"/>
      <c r="HP97" s="292"/>
      <c r="HQ97" s="292"/>
      <c r="HR97" s="292"/>
      <c r="HS97" s="292"/>
      <c r="HT97" s="292"/>
      <c r="HU97" s="292"/>
      <c r="HV97" s="292"/>
      <c r="HW97" s="292"/>
    </row>
    <row r="98" spans="1:231" ht="14.1" customHeight="1">
      <c r="A98" s="292"/>
      <c r="B98" s="311"/>
      <c r="C98" s="311"/>
      <c r="E98" s="329"/>
      <c r="F98" s="292"/>
      <c r="G98" s="292"/>
      <c r="H98" s="292"/>
      <c r="I98" s="292"/>
      <c r="K98" s="926"/>
      <c r="L98" s="922"/>
      <c r="M98" s="922"/>
      <c r="N98" s="922"/>
      <c r="O98" s="922"/>
      <c r="P98" s="922"/>
      <c r="Q98" s="922"/>
      <c r="R98" s="922"/>
      <c r="S98" s="922"/>
      <c r="T98" s="922"/>
      <c r="U98" s="291"/>
      <c r="V98" s="291"/>
      <c r="W98" s="291"/>
      <c r="X98" s="292"/>
      <c r="Y98" s="292"/>
      <c r="Z98" s="292"/>
      <c r="AA98" s="292"/>
      <c r="AB98" s="292"/>
      <c r="AC98" s="292"/>
      <c r="AD98" s="292"/>
      <c r="AE98" s="292"/>
      <c r="AF98" s="292"/>
      <c r="AG98" s="292"/>
      <c r="AH98" s="292"/>
      <c r="AI98" s="292"/>
      <c r="AJ98" s="292"/>
      <c r="AK98" s="292"/>
      <c r="AL98" s="292"/>
      <c r="AM98" s="292"/>
      <c r="AN98" s="292"/>
      <c r="AO98" s="292"/>
      <c r="AP98" s="292"/>
      <c r="AQ98" s="292"/>
      <c r="AR98" s="292"/>
      <c r="AS98" s="292"/>
      <c r="AT98" s="292"/>
      <c r="AU98" s="292"/>
      <c r="AV98" s="292"/>
      <c r="AW98" s="292"/>
      <c r="AX98" s="292"/>
      <c r="AY98" s="292"/>
      <c r="AZ98" s="292"/>
      <c r="BA98" s="292"/>
      <c r="BB98" s="292"/>
      <c r="BC98" s="292"/>
      <c r="BD98" s="292"/>
      <c r="BE98" s="292"/>
      <c r="BF98" s="292"/>
      <c r="BG98" s="292"/>
      <c r="BH98" s="292"/>
      <c r="BI98" s="292"/>
      <c r="BJ98" s="292"/>
      <c r="BK98" s="292"/>
      <c r="BL98" s="292"/>
      <c r="BM98" s="292"/>
      <c r="BN98" s="292"/>
      <c r="BO98" s="292"/>
      <c r="BP98" s="292"/>
      <c r="BQ98" s="292"/>
      <c r="BR98" s="292"/>
      <c r="BS98" s="292"/>
      <c r="BT98" s="292"/>
      <c r="BU98" s="292"/>
      <c r="BV98" s="292"/>
      <c r="BW98" s="292"/>
      <c r="BX98" s="292"/>
      <c r="BY98" s="292"/>
      <c r="BZ98" s="292"/>
      <c r="CA98" s="292"/>
      <c r="CB98" s="292"/>
      <c r="CC98" s="292"/>
      <c r="CD98" s="292"/>
      <c r="CE98" s="292"/>
      <c r="CF98" s="292"/>
      <c r="CG98" s="292"/>
      <c r="CH98" s="292"/>
      <c r="CI98" s="292"/>
      <c r="CJ98" s="292"/>
      <c r="CK98" s="292"/>
      <c r="CL98" s="292"/>
      <c r="CM98" s="292"/>
      <c r="CN98" s="292"/>
      <c r="CO98" s="292"/>
      <c r="CP98" s="292"/>
      <c r="CQ98" s="292"/>
      <c r="CR98" s="292"/>
      <c r="CS98" s="292"/>
      <c r="CT98" s="292"/>
      <c r="CU98" s="292"/>
      <c r="CV98" s="292"/>
      <c r="CW98" s="292"/>
      <c r="CX98" s="292"/>
      <c r="CY98" s="292"/>
      <c r="CZ98" s="292"/>
      <c r="DA98" s="292"/>
      <c r="DB98" s="292"/>
      <c r="DC98" s="292"/>
      <c r="DD98" s="292"/>
      <c r="DE98" s="292"/>
      <c r="DF98" s="292"/>
      <c r="DG98" s="292"/>
      <c r="DH98" s="292"/>
      <c r="DI98" s="292"/>
      <c r="DJ98" s="292"/>
      <c r="DK98" s="292"/>
      <c r="DL98" s="292"/>
      <c r="DM98" s="292"/>
      <c r="DN98" s="292"/>
      <c r="DO98" s="292"/>
      <c r="DP98" s="292"/>
      <c r="DQ98" s="292"/>
      <c r="DR98" s="292"/>
      <c r="DS98" s="292"/>
      <c r="DT98" s="292"/>
      <c r="DU98" s="292"/>
      <c r="DV98" s="292"/>
      <c r="DW98" s="292"/>
      <c r="DX98" s="292"/>
      <c r="DY98" s="292"/>
      <c r="DZ98" s="292"/>
      <c r="EA98" s="292"/>
      <c r="EB98" s="292"/>
      <c r="EC98" s="292"/>
      <c r="ED98" s="292"/>
      <c r="EE98" s="292"/>
      <c r="EF98" s="292"/>
      <c r="EG98" s="292"/>
      <c r="EH98" s="292"/>
      <c r="EI98" s="292"/>
      <c r="EJ98" s="292"/>
      <c r="EK98" s="292"/>
      <c r="EL98" s="292"/>
      <c r="EM98" s="292"/>
      <c r="EN98" s="292"/>
      <c r="EO98" s="292"/>
      <c r="EP98" s="292"/>
      <c r="EQ98" s="292"/>
      <c r="ER98" s="292"/>
      <c r="ES98" s="292"/>
      <c r="ET98" s="292"/>
      <c r="EU98" s="292"/>
      <c r="EV98" s="292"/>
      <c r="EW98" s="292"/>
      <c r="EX98" s="292"/>
      <c r="EY98" s="292"/>
      <c r="EZ98" s="292"/>
      <c r="FA98" s="292"/>
      <c r="FB98" s="292"/>
      <c r="FC98" s="292"/>
      <c r="FD98" s="292"/>
      <c r="FE98" s="292"/>
      <c r="FF98" s="292"/>
      <c r="FG98" s="292"/>
      <c r="FH98" s="292"/>
      <c r="FI98" s="292"/>
      <c r="FJ98" s="292"/>
      <c r="FK98" s="292"/>
      <c r="FL98" s="292"/>
      <c r="FM98" s="292"/>
      <c r="FN98" s="292"/>
      <c r="FO98" s="292"/>
      <c r="FP98" s="292"/>
      <c r="FQ98" s="292"/>
      <c r="FR98" s="292"/>
      <c r="FS98" s="292"/>
      <c r="FT98" s="292"/>
      <c r="FU98" s="292"/>
      <c r="FV98" s="292"/>
      <c r="FW98" s="292"/>
      <c r="FX98" s="292"/>
      <c r="FY98" s="292"/>
      <c r="FZ98" s="292"/>
      <c r="GA98" s="292"/>
      <c r="GB98" s="292"/>
      <c r="GC98" s="292"/>
      <c r="GD98" s="292"/>
      <c r="GE98" s="292"/>
      <c r="GF98" s="292"/>
      <c r="GG98" s="292"/>
      <c r="GH98" s="292"/>
      <c r="GI98" s="292"/>
      <c r="GJ98" s="292"/>
      <c r="GK98" s="292"/>
      <c r="GL98" s="292"/>
      <c r="GM98" s="292"/>
      <c r="GN98" s="292"/>
      <c r="GO98" s="292"/>
      <c r="GP98" s="292"/>
      <c r="GQ98" s="292"/>
      <c r="GR98" s="292"/>
      <c r="GS98" s="292"/>
      <c r="GT98" s="292"/>
      <c r="GU98" s="292"/>
      <c r="GV98" s="292"/>
      <c r="GW98" s="292"/>
      <c r="GX98" s="292"/>
      <c r="GY98" s="292"/>
      <c r="GZ98" s="292"/>
      <c r="HA98" s="292"/>
      <c r="HB98" s="292"/>
      <c r="HC98" s="292"/>
      <c r="HD98" s="292"/>
      <c r="HE98" s="292"/>
      <c r="HF98" s="292"/>
      <c r="HG98" s="292"/>
      <c r="HH98" s="292"/>
      <c r="HI98" s="292"/>
      <c r="HJ98" s="292"/>
      <c r="HK98" s="292"/>
      <c r="HL98" s="292"/>
      <c r="HM98" s="292"/>
      <c r="HN98" s="292"/>
      <c r="HO98" s="292"/>
      <c r="HP98" s="292"/>
      <c r="HQ98" s="292"/>
      <c r="HR98" s="292"/>
      <c r="HS98" s="292"/>
      <c r="HT98" s="292"/>
      <c r="HU98" s="292"/>
      <c r="HV98" s="292"/>
      <c r="HW98" s="292"/>
    </row>
    <row r="99" spans="1:231" ht="14.1" customHeight="1">
      <c r="A99" s="292"/>
      <c r="B99" s="311"/>
      <c r="C99" s="311"/>
      <c r="E99" s="329"/>
      <c r="F99" s="292"/>
      <c r="G99" s="292"/>
      <c r="H99" s="292"/>
      <c r="I99" s="292"/>
      <c r="K99" s="926"/>
      <c r="L99" s="922"/>
      <c r="M99" s="922"/>
      <c r="N99" s="922"/>
      <c r="O99" s="922"/>
      <c r="P99" s="922"/>
      <c r="Q99" s="922"/>
      <c r="R99" s="922"/>
      <c r="S99" s="922"/>
      <c r="T99" s="922"/>
      <c r="U99" s="291"/>
      <c r="V99" s="291"/>
      <c r="W99" s="291"/>
      <c r="X99" s="292"/>
      <c r="Y99" s="292"/>
      <c r="Z99" s="292"/>
      <c r="AA99" s="292"/>
      <c r="AB99" s="292"/>
      <c r="AC99" s="292"/>
      <c r="AD99" s="292"/>
      <c r="AE99" s="292"/>
      <c r="AF99" s="292"/>
      <c r="AG99" s="292"/>
      <c r="AH99" s="292"/>
      <c r="AI99" s="292"/>
      <c r="AJ99" s="292"/>
      <c r="AK99" s="292"/>
      <c r="AL99" s="292"/>
      <c r="AM99" s="292"/>
      <c r="AN99" s="292"/>
      <c r="AO99" s="292"/>
      <c r="AP99" s="292"/>
      <c r="AQ99" s="292"/>
      <c r="AR99" s="292"/>
      <c r="AS99" s="292"/>
      <c r="AT99" s="292"/>
      <c r="AU99" s="292"/>
      <c r="AV99" s="292"/>
      <c r="AW99" s="292"/>
      <c r="AX99" s="292"/>
      <c r="AY99" s="292"/>
      <c r="AZ99" s="292"/>
      <c r="BA99" s="292"/>
      <c r="BB99" s="292"/>
      <c r="BC99" s="292"/>
      <c r="BD99" s="292"/>
      <c r="BE99" s="292"/>
      <c r="BF99" s="292"/>
      <c r="BG99" s="292"/>
      <c r="BH99" s="292"/>
      <c r="BI99" s="292"/>
      <c r="BJ99" s="292"/>
      <c r="BK99" s="292"/>
      <c r="BL99" s="292"/>
      <c r="BM99" s="292"/>
      <c r="BN99" s="292"/>
      <c r="BO99" s="292"/>
      <c r="BP99" s="292"/>
      <c r="BQ99" s="292"/>
      <c r="BR99" s="292"/>
      <c r="BS99" s="292"/>
      <c r="BT99" s="292"/>
      <c r="BU99" s="292"/>
      <c r="BV99" s="292"/>
      <c r="BW99" s="292"/>
      <c r="BX99" s="292"/>
      <c r="BY99" s="292"/>
      <c r="BZ99" s="292"/>
      <c r="CA99" s="292"/>
      <c r="CB99" s="292"/>
      <c r="CC99" s="292"/>
      <c r="CD99" s="292"/>
      <c r="CE99" s="292"/>
      <c r="CF99" s="292"/>
      <c r="CG99" s="292"/>
      <c r="CH99" s="292"/>
      <c r="CI99" s="292"/>
      <c r="CJ99" s="292"/>
      <c r="CK99" s="292"/>
      <c r="CL99" s="292"/>
      <c r="CM99" s="292"/>
      <c r="CN99" s="292"/>
      <c r="CO99" s="292"/>
      <c r="CP99" s="292"/>
      <c r="CQ99" s="292"/>
      <c r="CR99" s="292"/>
      <c r="CS99" s="292"/>
      <c r="CT99" s="292"/>
      <c r="CU99" s="292"/>
      <c r="CV99" s="292"/>
      <c r="CW99" s="292"/>
      <c r="CX99" s="292"/>
      <c r="CY99" s="292"/>
      <c r="CZ99" s="292"/>
      <c r="DA99" s="292"/>
      <c r="DB99" s="292"/>
      <c r="DC99" s="292"/>
      <c r="DD99" s="292"/>
      <c r="DE99" s="292"/>
      <c r="DF99" s="292"/>
      <c r="DG99" s="292"/>
      <c r="DH99" s="292"/>
      <c r="DI99" s="292"/>
      <c r="DJ99" s="292"/>
      <c r="DK99" s="292"/>
      <c r="DL99" s="292"/>
      <c r="DM99" s="292"/>
      <c r="DN99" s="292"/>
      <c r="DO99" s="292"/>
      <c r="DP99" s="292"/>
      <c r="DQ99" s="292"/>
      <c r="DR99" s="292"/>
      <c r="DS99" s="292"/>
      <c r="DT99" s="292"/>
      <c r="DU99" s="292"/>
      <c r="DV99" s="292"/>
      <c r="DW99" s="292"/>
      <c r="DX99" s="292"/>
      <c r="DY99" s="292"/>
      <c r="DZ99" s="292"/>
      <c r="EA99" s="292"/>
      <c r="EB99" s="292"/>
      <c r="EC99" s="292"/>
      <c r="ED99" s="292"/>
      <c r="EE99" s="292"/>
      <c r="EF99" s="292"/>
      <c r="EG99" s="292"/>
      <c r="EH99" s="292"/>
      <c r="EI99" s="292"/>
      <c r="EJ99" s="292"/>
      <c r="EK99" s="292"/>
      <c r="EL99" s="292"/>
      <c r="EM99" s="292"/>
      <c r="EN99" s="292"/>
      <c r="EO99" s="292"/>
      <c r="EP99" s="292"/>
      <c r="EQ99" s="292"/>
      <c r="ER99" s="292"/>
      <c r="ES99" s="292"/>
      <c r="ET99" s="292"/>
      <c r="EU99" s="292"/>
      <c r="EV99" s="292"/>
      <c r="EW99" s="292"/>
      <c r="EX99" s="292"/>
      <c r="EY99" s="292"/>
      <c r="EZ99" s="292"/>
      <c r="FA99" s="292"/>
      <c r="FB99" s="292"/>
      <c r="FC99" s="292"/>
      <c r="FD99" s="292"/>
      <c r="FE99" s="292"/>
      <c r="FF99" s="292"/>
      <c r="FG99" s="292"/>
      <c r="FH99" s="292"/>
      <c r="FI99" s="292"/>
      <c r="FJ99" s="292"/>
      <c r="FK99" s="292"/>
      <c r="FL99" s="292"/>
      <c r="FM99" s="292"/>
      <c r="FN99" s="292"/>
      <c r="FO99" s="292"/>
      <c r="FP99" s="292"/>
      <c r="FQ99" s="292"/>
      <c r="FR99" s="292"/>
      <c r="FS99" s="292"/>
      <c r="FT99" s="292"/>
      <c r="FU99" s="292"/>
      <c r="FV99" s="292"/>
      <c r="FW99" s="292"/>
      <c r="FX99" s="292"/>
      <c r="FY99" s="292"/>
      <c r="FZ99" s="292"/>
      <c r="GA99" s="292"/>
      <c r="GB99" s="292"/>
      <c r="GC99" s="292"/>
      <c r="GD99" s="292"/>
      <c r="GE99" s="292"/>
      <c r="GF99" s="292"/>
      <c r="GG99" s="292"/>
      <c r="GH99" s="292"/>
      <c r="GI99" s="292"/>
      <c r="GJ99" s="292"/>
      <c r="GK99" s="292"/>
      <c r="GL99" s="292"/>
      <c r="GM99" s="292"/>
      <c r="GN99" s="292"/>
      <c r="GO99" s="292"/>
      <c r="GP99" s="292"/>
      <c r="GQ99" s="292"/>
      <c r="GR99" s="292"/>
      <c r="GS99" s="292"/>
      <c r="GT99" s="292"/>
      <c r="GU99" s="292"/>
      <c r="GV99" s="292"/>
      <c r="GW99" s="292"/>
      <c r="GX99" s="292"/>
      <c r="GY99" s="292"/>
      <c r="GZ99" s="292"/>
      <c r="HA99" s="292"/>
      <c r="HB99" s="292"/>
      <c r="HC99" s="292"/>
      <c r="HD99" s="292"/>
      <c r="HE99" s="292"/>
      <c r="HF99" s="292"/>
      <c r="HG99" s="292"/>
      <c r="HH99" s="292"/>
      <c r="HI99" s="292"/>
      <c r="HJ99" s="292"/>
      <c r="HK99" s="292"/>
      <c r="HL99" s="292"/>
      <c r="HM99" s="292"/>
      <c r="HN99" s="292"/>
      <c r="HO99" s="292"/>
      <c r="HP99" s="292"/>
      <c r="HQ99" s="292"/>
      <c r="HR99" s="292"/>
      <c r="HS99" s="292"/>
      <c r="HT99" s="292"/>
      <c r="HU99" s="292"/>
      <c r="HV99" s="292"/>
      <c r="HW99" s="292"/>
    </row>
    <row r="100" spans="1:231" ht="14.1" customHeight="1">
      <c r="A100" s="292"/>
      <c r="B100" s="311"/>
      <c r="C100" s="311"/>
      <c r="E100" s="329"/>
      <c r="F100" s="292"/>
      <c r="G100" s="292"/>
      <c r="H100" s="292"/>
      <c r="I100" s="292"/>
      <c r="K100" s="926"/>
      <c r="L100" s="922"/>
      <c r="M100" s="922"/>
      <c r="N100" s="922"/>
      <c r="O100" s="922"/>
      <c r="P100" s="922"/>
      <c r="Q100" s="922"/>
      <c r="R100" s="922"/>
      <c r="S100" s="922"/>
      <c r="T100" s="922"/>
      <c r="U100" s="291"/>
      <c r="V100" s="291"/>
      <c r="W100" s="291"/>
      <c r="X100" s="292"/>
      <c r="Y100" s="292"/>
      <c r="Z100" s="292"/>
      <c r="AA100" s="292"/>
      <c r="AB100" s="292"/>
      <c r="AC100" s="292"/>
      <c r="AD100" s="292"/>
      <c r="AE100" s="292"/>
      <c r="AF100" s="292"/>
      <c r="AG100" s="292"/>
      <c r="AH100" s="292"/>
      <c r="AI100" s="292"/>
      <c r="AJ100" s="292"/>
      <c r="AK100" s="292"/>
      <c r="AL100" s="292"/>
      <c r="AM100" s="292"/>
      <c r="AN100" s="292"/>
      <c r="AO100" s="292"/>
      <c r="AP100" s="292"/>
      <c r="AQ100" s="292"/>
      <c r="AR100" s="292"/>
      <c r="AS100" s="292"/>
      <c r="AT100" s="292"/>
      <c r="AU100" s="292"/>
      <c r="AV100" s="292"/>
      <c r="AW100" s="292"/>
      <c r="AX100" s="292"/>
      <c r="AY100" s="292"/>
      <c r="AZ100" s="292"/>
      <c r="BA100" s="292"/>
      <c r="BB100" s="292"/>
      <c r="BC100" s="292"/>
      <c r="BD100" s="292"/>
      <c r="BE100" s="292"/>
      <c r="BF100" s="292"/>
      <c r="BG100" s="292"/>
      <c r="BH100" s="292"/>
      <c r="BI100" s="292"/>
      <c r="BJ100" s="292"/>
      <c r="BK100" s="292"/>
      <c r="BL100" s="292"/>
      <c r="BM100" s="292"/>
      <c r="BN100" s="292"/>
      <c r="BO100" s="292"/>
      <c r="BP100" s="292"/>
      <c r="BQ100" s="292"/>
      <c r="BR100" s="292"/>
      <c r="BS100" s="292"/>
      <c r="BT100" s="292"/>
      <c r="BU100" s="292"/>
      <c r="BV100" s="292"/>
      <c r="BW100" s="292"/>
      <c r="BX100" s="292"/>
      <c r="BY100" s="292"/>
      <c r="BZ100" s="292"/>
      <c r="CA100" s="292"/>
      <c r="CB100" s="292"/>
      <c r="CC100" s="292"/>
      <c r="CD100" s="292"/>
      <c r="CE100" s="292"/>
      <c r="CF100" s="292"/>
      <c r="CG100" s="292"/>
      <c r="CH100" s="292"/>
      <c r="CI100" s="292"/>
      <c r="CJ100" s="292"/>
      <c r="CK100" s="292"/>
      <c r="CL100" s="292"/>
      <c r="CM100" s="292"/>
      <c r="CN100" s="292"/>
      <c r="CO100" s="292"/>
      <c r="CP100" s="292"/>
      <c r="CQ100" s="292"/>
      <c r="CR100" s="292"/>
      <c r="CS100" s="292"/>
      <c r="CT100" s="292"/>
      <c r="CU100" s="292"/>
      <c r="CV100" s="292"/>
      <c r="CW100" s="292"/>
      <c r="CX100" s="292"/>
      <c r="CY100" s="292"/>
      <c r="CZ100" s="292"/>
      <c r="DA100" s="292"/>
      <c r="DB100" s="292"/>
      <c r="DC100" s="292"/>
      <c r="DD100" s="292"/>
      <c r="DE100" s="292"/>
      <c r="DF100" s="292"/>
      <c r="DG100" s="292"/>
      <c r="DH100" s="292"/>
      <c r="DI100" s="292"/>
      <c r="DJ100" s="292"/>
      <c r="DK100" s="292"/>
      <c r="DL100" s="292"/>
      <c r="DM100" s="292"/>
      <c r="DN100" s="292"/>
      <c r="DO100" s="292"/>
      <c r="DP100" s="292"/>
      <c r="DQ100" s="292"/>
      <c r="DR100" s="292"/>
      <c r="DS100" s="292"/>
      <c r="DT100" s="292"/>
      <c r="DU100" s="292"/>
      <c r="DV100" s="292"/>
      <c r="DW100" s="292"/>
      <c r="DX100" s="292"/>
      <c r="DY100" s="292"/>
      <c r="DZ100" s="292"/>
      <c r="EA100" s="292"/>
      <c r="EB100" s="292"/>
      <c r="EC100" s="292"/>
      <c r="ED100" s="292"/>
      <c r="EE100" s="292"/>
      <c r="EF100" s="292"/>
      <c r="EG100" s="292"/>
      <c r="EH100" s="292"/>
      <c r="EI100" s="292"/>
      <c r="EJ100" s="292"/>
      <c r="EK100" s="292"/>
      <c r="EL100" s="292"/>
      <c r="EM100" s="292"/>
      <c r="EN100" s="292"/>
      <c r="EO100" s="292"/>
      <c r="EP100" s="292"/>
      <c r="EQ100" s="292"/>
      <c r="ER100" s="292"/>
      <c r="ES100" s="292"/>
      <c r="ET100" s="292"/>
      <c r="EU100" s="292"/>
      <c r="EV100" s="292"/>
      <c r="EW100" s="292"/>
      <c r="EX100" s="292"/>
      <c r="EY100" s="292"/>
      <c r="EZ100" s="292"/>
      <c r="FA100" s="292"/>
      <c r="FB100" s="292"/>
      <c r="FC100" s="292"/>
      <c r="FD100" s="292"/>
      <c r="FE100" s="292"/>
      <c r="FF100" s="292"/>
      <c r="FG100" s="292"/>
      <c r="FH100" s="292"/>
      <c r="FI100" s="292"/>
      <c r="FJ100" s="292"/>
      <c r="FK100" s="292"/>
      <c r="FL100" s="292"/>
      <c r="FM100" s="292"/>
      <c r="FN100" s="292"/>
      <c r="FO100" s="292"/>
      <c r="FP100" s="292"/>
      <c r="FQ100" s="292"/>
      <c r="FR100" s="292"/>
      <c r="FS100" s="292"/>
      <c r="FT100" s="292"/>
      <c r="FU100" s="292"/>
      <c r="FV100" s="292"/>
      <c r="FW100" s="292"/>
      <c r="FX100" s="292"/>
      <c r="FY100" s="292"/>
      <c r="FZ100" s="292"/>
      <c r="GA100" s="292"/>
      <c r="GB100" s="292"/>
      <c r="GC100" s="292"/>
      <c r="GD100" s="292"/>
      <c r="GE100" s="292"/>
      <c r="GF100" s="292"/>
      <c r="GG100" s="292"/>
      <c r="GH100" s="292"/>
      <c r="GI100" s="292"/>
      <c r="GJ100" s="292"/>
      <c r="GK100" s="292"/>
      <c r="GL100" s="292"/>
      <c r="GM100" s="292"/>
      <c r="GN100" s="292"/>
      <c r="GO100" s="292"/>
      <c r="GP100" s="292"/>
      <c r="GQ100" s="292"/>
      <c r="GR100" s="292"/>
      <c r="GS100" s="292"/>
      <c r="GT100" s="292"/>
      <c r="GU100" s="292"/>
      <c r="GV100" s="292"/>
      <c r="GW100" s="292"/>
      <c r="GX100" s="292"/>
      <c r="GY100" s="292"/>
      <c r="GZ100" s="292"/>
      <c r="HA100" s="292"/>
      <c r="HB100" s="292"/>
      <c r="HC100" s="292"/>
      <c r="HD100" s="292"/>
      <c r="HE100" s="292"/>
      <c r="HF100" s="292"/>
      <c r="HG100" s="292"/>
      <c r="HH100" s="292"/>
      <c r="HI100" s="292"/>
      <c r="HJ100" s="292"/>
      <c r="HK100" s="292"/>
      <c r="HL100" s="292"/>
      <c r="HM100" s="292"/>
      <c r="HN100" s="292"/>
      <c r="HO100" s="292"/>
      <c r="HP100" s="292"/>
      <c r="HQ100" s="292"/>
      <c r="HR100" s="292"/>
      <c r="HS100" s="292"/>
      <c r="HT100" s="292"/>
      <c r="HU100" s="292"/>
      <c r="HV100" s="292"/>
      <c r="HW100" s="292"/>
    </row>
    <row r="101" spans="1:231" ht="14.1" customHeight="1">
      <c r="A101" s="292"/>
      <c r="B101" s="311"/>
      <c r="C101" s="311"/>
      <c r="E101" s="329"/>
      <c r="F101" s="292"/>
      <c r="G101" s="292"/>
      <c r="H101" s="292"/>
      <c r="I101" s="292"/>
      <c r="K101" s="926"/>
      <c r="L101" s="922"/>
      <c r="M101" s="922"/>
      <c r="N101" s="922"/>
      <c r="O101" s="922"/>
      <c r="P101" s="922"/>
      <c r="Q101" s="922"/>
      <c r="R101" s="922"/>
      <c r="S101" s="922"/>
      <c r="T101" s="922"/>
      <c r="U101" s="291"/>
      <c r="V101" s="291"/>
      <c r="W101" s="291"/>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c r="BP101" s="292"/>
      <c r="BQ101" s="292"/>
      <c r="BR101" s="292"/>
      <c r="BS101" s="292"/>
      <c r="BT101" s="292"/>
      <c r="BU101" s="292"/>
      <c r="BV101" s="292"/>
      <c r="BW101" s="292"/>
      <c r="BX101" s="292"/>
      <c r="BY101" s="292"/>
      <c r="BZ101" s="292"/>
      <c r="CA101" s="292"/>
      <c r="CB101" s="292"/>
      <c r="CC101" s="292"/>
      <c r="CD101" s="292"/>
      <c r="CE101" s="292"/>
      <c r="CF101" s="292"/>
      <c r="CG101" s="292"/>
      <c r="CH101" s="292"/>
      <c r="CI101" s="292"/>
      <c r="CJ101" s="292"/>
      <c r="CK101" s="292"/>
      <c r="CL101" s="292"/>
      <c r="CM101" s="292"/>
      <c r="CN101" s="292"/>
      <c r="CO101" s="292"/>
      <c r="CP101" s="292"/>
      <c r="CQ101" s="292"/>
      <c r="CR101" s="292"/>
      <c r="CS101" s="292"/>
      <c r="CT101" s="292"/>
      <c r="CU101" s="292"/>
      <c r="CV101" s="292"/>
      <c r="CW101" s="292"/>
      <c r="CX101" s="292"/>
      <c r="CY101" s="292"/>
      <c r="CZ101" s="292"/>
      <c r="DA101" s="292"/>
      <c r="DB101" s="292"/>
      <c r="DC101" s="292"/>
      <c r="DD101" s="292"/>
      <c r="DE101" s="292"/>
      <c r="DF101" s="292"/>
      <c r="DG101" s="292"/>
      <c r="DH101" s="292"/>
      <c r="DI101" s="292"/>
      <c r="DJ101" s="292"/>
      <c r="DK101" s="292"/>
      <c r="DL101" s="292"/>
      <c r="DM101" s="292"/>
      <c r="DN101" s="292"/>
      <c r="DO101" s="292"/>
      <c r="DP101" s="292"/>
      <c r="DQ101" s="292"/>
      <c r="DR101" s="292"/>
      <c r="DS101" s="292"/>
      <c r="DT101" s="292"/>
      <c r="DU101" s="292"/>
      <c r="DV101" s="292"/>
      <c r="DW101" s="292"/>
      <c r="DX101" s="292"/>
      <c r="DY101" s="292"/>
      <c r="DZ101" s="292"/>
      <c r="EA101" s="292"/>
      <c r="EB101" s="292"/>
      <c r="EC101" s="292"/>
      <c r="ED101" s="292"/>
      <c r="EE101" s="292"/>
      <c r="EF101" s="292"/>
      <c r="EG101" s="292"/>
      <c r="EH101" s="292"/>
      <c r="EI101" s="292"/>
      <c r="EJ101" s="292"/>
      <c r="EK101" s="292"/>
      <c r="EL101" s="292"/>
      <c r="EM101" s="292"/>
      <c r="EN101" s="292"/>
      <c r="EO101" s="292"/>
      <c r="EP101" s="292"/>
      <c r="EQ101" s="292"/>
      <c r="ER101" s="292"/>
      <c r="ES101" s="292"/>
      <c r="ET101" s="292"/>
      <c r="EU101" s="292"/>
      <c r="EV101" s="292"/>
      <c r="EW101" s="292"/>
      <c r="EX101" s="292"/>
      <c r="EY101" s="292"/>
      <c r="EZ101" s="292"/>
      <c r="FA101" s="292"/>
      <c r="FB101" s="292"/>
      <c r="FC101" s="292"/>
      <c r="FD101" s="292"/>
      <c r="FE101" s="292"/>
      <c r="FF101" s="292"/>
      <c r="FG101" s="292"/>
      <c r="FH101" s="292"/>
      <c r="FI101" s="292"/>
      <c r="FJ101" s="292"/>
      <c r="FK101" s="292"/>
      <c r="FL101" s="292"/>
      <c r="FM101" s="292"/>
      <c r="FN101" s="292"/>
      <c r="FO101" s="292"/>
      <c r="FP101" s="292"/>
      <c r="FQ101" s="292"/>
      <c r="FR101" s="292"/>
      <c r="FS101" s="292"/>
      <c r="FT101" s="292"/>
      <c r="FU101" s="292"/>
      <c r="FV101" s="292"/>
      <c r="FW101" s="292"/>
      <c r="FX101" s="292"/>
      <c r="FY101" s="292"/>
      <c r="FZ101" s="292"/>
      <c r="GA101" s="292"/>
      <c r="GB101" s="292"/>
      <c r="GC101" s="292"/>
      <c r="GD101" s="292"/>
      <c r="GE101" s="292"/>
      <c r="GF101" s="292"/>
      <c r="GG101" s="292"/>
      <c r="GH101" s="292"/>
      <c r="GI101" s="292"/>
      <c r="GJ101" s="292"/>
      <c r="GK101" s="292"/>
      <c r="GL101" s="292"/>
      <c r="GM101" s="292"/>
      <c r="GN101" s="292"/>
      <c r="GO101" s="292"/>
      <c r="GP101" s="292"/>
      <c r="GQ101" s="292"/>
      <c r="GR101" s="292"/>
      <c r="GS101" s="292"/>
      <c r="GT101" s="292"/>
      <c r="GU101" s="292"/>
      <c r="GV101" s="292"/>
      <c r="GW101" s="292"/>
      <c r="GX101" s="292"/>
      <c r="GY101" s="292"/>
      <c r="GZ101" s="292"/>
      <c r="HA101" s="292"/>
      <c r="HB101" s="292"/>
      <c r="HC101" s="292"/>
      <c r="HD101" s="292"/>
      <c r="HE101" s="292"/>
      <c r="HF101" s="292"/>
      <c r="HG101" s="292"/>
      <c r="HH101" s="292"/>
      <c r="HI101" s="292"/>
      <c r="HJ101" s="292"/>
      <c r="HK101" s="292"/>
      <c r="HL101" s="292"/>
      <c r="HM101" s="292"/>
      <c r="HN101" s="292"/>
      <c r="HO101" s="292"/>
      <c r="HP101" s="292"/>
      <c r="HQ101" s="292"/>
      <c r="HR101" s="292"/>
      <c r="HS101" s="292"/>
      <c r="HT101" s="292"/>
      <c r="HU101" s="292"/>
      <c r="HV101" s="292"/>
      <c r="HW101" s="292"/>
    </row>
    <row r="102" spans="1:231" ht="14.1" customHeight="1">
      <c r="A102" s="292"/>
      <c r="B102" s="311"/>
      <c r="C102" s="311"/>
      <c r="E102" s="329"/>
      <c r="F102" s="292"/>
      <c r="G102" s="292"/>
      <c r="H102" s="292"/>
      <c r="I102" s="292"/>
      <c r="K102" s="926"/>
      <c r="L102" s="922"/>
      <c r="M102" s="922"/>
      <c r="N102" s="922"/>
      <c r="O102" s="922"/>
      <c r="P102" s="922"/>
      <c r="Q102" s="922"/>
      <c r="R102" s="922"/>
      <c r="S102" s="922"/>
      <c r="T102" s="922"/>
      <c r="U102" s="291"/>
      <c r="V102" s="291"/>
      <c r="W102" s="291"/>
      <c r="X102" s="292"/>
      <c r="Y102" s="292"/>
      <c r="Z102" s="292"/>
      <c r="AA102" s="292"/>
      <c r="AB102" s="292"/>
      <c r="AC102" s="292"/>
      <c r="AD102" s="292"/>
      <c r="AE102" s="292"/>
      <c r="AF102" s="292"/>
      <c r="AG102" s="292"/>
      <c r="AH102" s="292"/>
      <c r="AI102" s="292"/>
      <c r="AJ102" s="292"/>
      <c r="AK102" s="292"/>
      <c r="AL102" s="292"/>
      <c r="AM102" s="292"/>
      <c r="AN102" s="292"/>
      <c r="AO102" s="292"/>
      <c r="AP102" s="292"/>
      <c r="AQ102" s="292"/>
      <c r="AR102" s="292"/>
      <c r="AS102" s="292"/>
      <c r="AT102" s="292"/>
      <c r="AU102" s="292"/>
      <c r="AV102" s="292"/>
      <c r="AW102" s="292"/>
      <c r="AX102" s="292"/>
      <c r="AY102" s="292"/>
      <c r="AZ102" s="292"/>
      <c r="BA102" s="292"/>
      <c r="BB102" s="292"/>
      <c r="BC102" s="292"/>
      <c r="BD102" s="292"/>
      <c r="BE102" s="292"/>
      <c r="BF102" s="292"/>
      <c r="BG102" s="292"/>
      <c r="BH102" s="292"/>
      <c r="BI102" s="292"/>
      <c r="BJ102" s="292"/>
      <c r="BK102" s="292"/>
      <c r="BL102" s="292"/>
      <c r="BM102" s="292"/>
      <c r="BN102" s="292"/>
      <c r="BO102" s="292"/>
      <c r="BP102" s="292"/>
      <c r="BQ102" s="292"/>
      <c r="BR102" s="292"/>
      <c r="BS102" s="292"/>
      <c r="BT102" s="292"/>
      <c r="BU102" s="292"/>
      <c r="BV102" s="292"/>
      <c r="BW102" s="292"/>
      <c r="BX102" s="292"/>
      <c r="BY102" s="292"/>
      <c r="BZ102" s="292"/>
      <c r="CA102" s="292"/>
      <c r="CB102" s="292"/>
      <c r="CC102" s="292"/>
      <c r="CD102" s="292"/>
      <c r="CE102" s="292"/>
      <c r="CF102" s="292"/>
      <c r="CG102" s="292"/>
      <c r="CH102" s="292"/>
      <c r="CI102" s="292"/>
      <c r="CJ102" s="292"/>
      <c r="CK102" s="292"/>
      <c r="CL102" s="292"/>
      <c r="CM102" s="292"/>
      <c r="CN102" s="292"/>
      <c r="CO102" s="292"/>
      <c r="CP102" s="292"/>
      <c r="CQ102" s="292"/>
      <c r="CR102" s="292"/>
      <c r="CS102" s="292"/>
      <c r="CT102" s="292"/>
      <c r="CU102" s="292"/>
      <c r="CV102" s="292"/>
      <c r="CW102" s="292"/>
      <c r="CX102" s="292"/>
      <c r="CY102" s="292"/>
      <c r="CZ102" s="292"/>
      <c r="DA102" s="292"/>
      <c r="DB102" s="292"/>
      <c r="DC102" s="292"/>
      <c r="DD102" s="292"/>
      <c r="DE102" s="292"/>
      <c r="DF102" s="292"/>
      <c r="DG102" s="292"/>
      <c r="DH102" s="292"/>
      <c r="DI102" s="292"/>
      <c r="DJ102" s="292"/>
      <c r="DK102" s="292"/>
      <c r="DL102" s="292"/>
      <c r="DM102" s="292"/>
      <c r="DN102" s="292"/>
      <c r="DO102" s="292"/>
      <c r="DP102" s="292"/>
      <c r="DQ102" s="292"/>
      <c r="DR102" s="292"/>
      <c r="DS102" s="292"/>
      <c r="DT102" s="292"/>
      <c r="DU102" s="292"/>
      <c r="DV102" s="292"/>
      <c r="DW102" s="292"/>
      <c r="DX102" s="292"/>
      <c r="DY102" s="292"/>
      <c r="DZ102" s="292"/>
      <c r="EA102" s="292"/>
      <c r="EB102" s="292"/>
      <c r="EC102" s="292"/>
      <c r="ED102" s="292"/>
      <c r="EE102" s="292"/>
      <c r="EF102" s="292"/>
      <c r="EG102" s="292"/>
      <c r="EH102" s="292"/>
      <c r="EI102" s="292"/>
      <c r="EJ102" s="292"/>
      <c r="EK102" s="292"/>
      <c r="EL102" s="292"/>
      <c r="EM102" s="292"/>
      <c r="EN102" s="292"/>
      <c r="EO102" s="292"/>
      <c r="EP102" s="292"/>
      <c r="EQ102" s="292"/>
      <c r="ER102" s="292"/>
      <c r="ES102" s="292"/>
      <c r="ET102" s="292"/>
      <c r="EU102" s="292"/>
      <c r="EV102" s="292"/>
      <c r="EW102" s="292"/>
      <c r="EX102" s="292"/>
      <c r="EY102" s="292"/>
      <c r="EZ102" s="292"/>
      <c r="FA102" s="292"/>
      <c r="FB102" s="292"/>
      <c r="FC102" s="292"/>
      <c r="FD102" s="292"/>
      <c r="FE102" s="292"/>
      <c r="FF102" s="292"/>
      <c r="FG102" s="292"/>
      <c r="FH102" s="292"/>
      <c r="FI102" s="292"/>
      <c r="FJ102" s="292"/>
      <c r="FK102" s="292"/>
      <c r="FL102" s="292"/>
      <c r="FM102" s="292"/>
      <c r="FN102" s="292"/>
      <c r="FO102" s="292"/>
      <c r="FP102" s="292"/>
      <c r="FQ102" s="292"/>
      <c r="FR102" s="292"/>
      <c r="FS102" s="292"/>
      <c r="FT102" s="292"/>
      <c r="FU102" s="292"/>
      <c r="FV102" s="292"/>
      <c r="FW102" s="292"/>
      <c r="FX102" s="292"/>
      <c r="FY102" s="292"/>
      <c r="FZ102" s="292"/>
      <c r="GA102" s="292"/>
      <c r="GB102" s="292"/>
      <c r="GC102" s="292"/>
      <c r="GD102" s="292"/>
      <c r="GE102" s="292"/>
      <c r="GF102" s="292"/>
      <c r="GG102" s="292"/>
      <c r="GH102" s="292"/>
      <c r="GI102" s="292"/>
      <c r="GJ102" s="292"/>
      <c r="GK102" s="292"/>
      <c r="GL102" s="292"/>
      <c r="GM102" s="292"/>
      <c r="GN102" s="292"/>
      <c r="GO102" s="292"/>
      <c r="GP102" s="292"/>
      <c r="GQ102" s="292"/>
      <c r="GR102" s="292"/>
      <c r="GS102" s="292"/>
      <c r="GT102" s="292"/>
      <c r="GU102" s="292"/>
      <c r="GV102" s="292"/>
      <c r="GW102" s="292"/>
      <c r="GX102" s="292"/>
      <c r="GY102" s="292"/>
      <c r="GZ102" s="292"/>
      <c r="HA102" s="292"/>
      <c r="HB102" s="292"/>
      <c r="HC102" s="292"/>
      <c r="HD102" s="292"/>
      <c r="HE102" s="292"/>
      <c r="HF102" s="292"/>
      <c r="HG102" s="292"/>
      <c r="HH102" s="292"/>
      <c r="HI102" s="292"/>
      <c r="HJ102" s="292"/>
      <c r="HK102" s="292"/>
      <c r="HL102" s="292"/>
      <c r="HM102" s="292"/>
      <c r="HN102" s="292"/>
      <c r="HO102" s="292"/>
      <c r="HP102" s="292"/>
      <c r="HQ102" s="292"/>
      <c r="HR102" s="292"/>
      <c r="HS102" s="292"/>
      <c r="HT102" s="292"/>
      <c r="HU102" s="292"/>
      <c r="HV102" s="292"/>
      <c r="HW102" s="292"/>
    </row>
    <row r="103" spans="1:231" ht="14.1" customHeight="1">
      <c r="A103" s="292"/>
      <c r="B103" s="311"/>
      <c r="C103" s="311"/>
      <c r="E103" s="329"/>
      <c r="F103" s="292"/>
      <c r="G103" s="292"/>
      <c r="H103" s="292"/>
      <c r="I103" s="292"/>
      <c r="K103" s="926"/>
      <c r="L103" s="922"/>
      <c r="M103" s="922"/>
      <c r="N103" s="922"/>
      <c r="O103" s="922"/>
      <c r="P103" s="922"/>
      <c r="Q103" s="922"/>
      <c r="R103" s="922"/>
      <c r="S103" s="922"/>
      <c r="T103" s="922"/>
      <c r="U103" s="291"/>
      <c r="V103" s="291"/>
      <c r="W103" s="291"/>
      <c r="X103" s="292"/>
      <c r="Y103" s="292"/>
      <c r="Z103" s="292"/>
      <c r="AA103" s="292"/>
      <c r="AB103" s="292"/>
      <c r="AC103" s="292"/>
      <c r="AD103" s="292"/>
      <c r="AE103" s="292"/>
      <c r="AF103" s="292"/>
      <c r="AG103" s="292"/>
      <c r="AH103" s="292"/>
      <c r="AI103" s="292"/>
      <c r="AJ103" s="292"/>
      <c r="AK103" s="292"/>
      <c r="AL103" s="292"/>
      <c r="AM103" s="292"/>
      <c r="AN103" s="292"/>
      <c r="AO103" s="292"/>
      <c r="AP103" s="292"/>
      <c r="AQ103" s="292"/>
      <c r="AR103" s="292"/>
      <c r="AS103" s="292"/>
      <c r="AT103" s="292"/>
      <c r="AU103" s="292"/>
      <c r="AV103" s="292"/>
      <c r="AW103" s="292"/>
      <c r="AX103" s="292"/>
      <c r="AY103" s="292"/>
      <c r="AZ103" s="292"/>
      <c r="BA103" s="292"/>
      <c r="BB103" s="292"/>
      <c r="BC103" s="292"/>
      <c r="BD103" s="292"/>
      <c r="BE103" s="292"/>
      <c r="BF103" s="292"/>
      <c r="BG103" s="292"/>
      <c r="BH103" s="292"/>
      <c r="BI103" s="292"/>
      <c r="BJ103" s="292"/>
      <c r="BK103" s="292"/>
      <c r="BL103" s="292"/>
      <c r="BM103" s="292"/>
      <c r="BN103" s="292"/>
      <c r="BO103" s="292"/>
      <c r="BP103" s="292"/>
      <c r="BQ103" s="292"/>
      <c r="BR103" s="292"/>
      <c r="BS103" s="292"/>
      <c r="BT103" s="292"/>
      <c r="BU103" s="292"/>
      <c r="BV103" s="292"/>
      <c r="BW103" s="292"/>
      <c r="BX103" s="292"/>
      <c r="BY103" s="292"/>
      <c r="BZ103" s="292"/>
      <c r="CA103" s="292"/>
      <c r="CB103" s="292"/>
      <c r="CC103" s="292"/>
      <c r="CD103" s="292"/>
      <c r="CE103" s="292"/>
      <c r="CF103" s="292"/>
      <c r="CG103" s="292"/>
      <c r="CH103" s="292"/>
      <c r="CI103" s="292"/>
      <c r="CJ103" s="292"/>
      <c r="CK103" s="292"/>
      <c r="CL103" s="292"/>
      <c r="CM103" s="292"/>
      <c r="CN103" s="292"/>
      <c r="CO103" s="292"/>
      <c r="CP103" s="292"/>
      <c r="CQ103" s="292"/>
      <c r="CR103" s="292"/>
      <c r="CS103" s="292"/>
      <c r="CT103" s="292"/>
      <c r="CU103" s="292"/>
      <c r="CV103" s="292"/>
      <c r="CW103" s="292"/>
      <c r="CX103" s="292"/>
      <c r="CY103" s="292"/>
      <c r="CZ103" s="292"/>
      <c r="DA103" s="292"/>
      <c r="DB103" s="292"/>
      <c r="DC103" s="292"/>
      <c r="DD103" s="292"/>
      <c r="DE103" s="292"/>
      <c r="DF103" s="292"/>
      <c r="DG103" s="292"/>
      <c r="DH103" s="292"/>
      <c r="DI103" s="292"/>
      <c r="DJ103" s="292"/>
      <c r="DK103" s="292"/>
      <c r="DL103" s="292"/>
      <c r="DM103" s="292"/>
      <c r="DN103" s="292"/>
      <c r="DO103" s="292"/>
      <c r="DP103" s="292"/>
      <c r="DQ103" s="292"/>
      <c r="DR103" s="292"/>
      <c r="DS103" s="292"/>
      <c r="DT103" s="292"/>
      <c r="DU103" s="292"/>
      <c r="DV103" s="292"/>
      <c r="DW103" s="292"/>
      <c r="DX103" s="292"/>
      <c r="DY103" s="292"/>
      <c r="DZ103" s="292"/>
      <c r="EA103" s="292"/>
      <c r="EB103" s="292"/>
      <c r="EC103" s="292"/>
      <c r="ED103" s="292"/>
      <c r="EE103" s="292"/>
      <c r="EF103" s="292"/>
      <c r="EG103" s="292"/>
      <c r="EH103" s="292"/>
      <c r="EI103" s="292"/>
      <c r="EJ103" s="292"/>
      <c r="EK103" s="292"/>
      <c r="EL103" s="292"/>
      <c r="EM103" s="292"/>
      <c r="EN103" s="292"/>
      <c r="EO103" s="292"/>
      <c r="EP103" s="292"/>
      <c r="EQ103" s="292"/>
      <c r="ER103" s="292"/>
      <c r="ES103" s="292"/>
      <c r="ET103" s="292"/>
      <c r="EU103" s="292"/>
      <c r="EV103" s="292"/>
      <c r="EW103" s="292"/>
      <c r="EX103" s="292"/>
      <c r="EY103" s="292"/>
      <c r="EZ103" s="292"/>
      <c r="FA103" s="292"/>
      <c r="FB103" s="292"/>
      <c r="FC103" s="292"/>
      <c r="FD103" s="292"/>
      <c r="FE103" s="292"/>
      <c r="FF103" s="292"/>
      <c r="FG103" s="292"/>
      <c r="FH103" s="292"/>
      <c r="FI103" s="292"/>
      <c r="FJ103" s="292"/>
      <c r="FK103" s="292"/>
      <c r="FL103" s="292"/>
      <c r="FM103" s="292"/>
      <c r="FN103" s="292"/>
      <c r="FO103" s="292"/>
      <c r="FP103" s="292"/>
      <c r="FQ103" s="292"/>
      <c r="FR103" s="292"/>
      <c r="FS103" s="292"/>
      <c r="FT103" s="292"/>
      <c r="FU103" s="292"/>
      <c r="FV103" s="292"/>
      <c r="FW103" s="292"/>
      <c r="FX103" s="292"/>
      <c r="FY103" s="292"/>
      <c r="FZ103" s="292"/>
      <c r="GA103" s="292"/>
      <c r="GB103" s="292"/>
      <c r="GC103" s="292"/>
      <c r="GD103" s="292"/>
      <c r="GE103" s="292"/>
      <c r="GF103" s="292"/>
      <c r="GG103" s="292"/>
      <c r="GH103" s="292"/>
      <c r="GI103" s="292"/>
      <c r="GJ103" s="292"/>
      <c r="GK103" s="292"/>
      <c r="GL103" s="292"/>
      <c r="GM103" s="292"/>
      <c r="GN103" s="292"/>
      <c r="GO103" s="292"/>
      <c r="GP103" s="292"/>
      <c r="GQ103" s="292"/>
      <c r="GR103" s="292"/>
      <c r="GS103" s="292"/>
      <c r="GT103" s="292"/>
      <c r="GU103" s="292"/>
      <c r="GV103" s="292"/>
      <c r="GW103" s="292"/>
      <c r="GX103" s="292"/>
      <c r="GY103" s="292"/>
      <c r="GZ103" s="292"/>
      <c r="HA103" s="292"/>
      <c r="HB103" s="292"/>
      <c r="HC103" s="292"/>
      <c r="HD103" s="292"/>
      <c r="HE103" s="292"/>
      <c r="HF103" s="292"/>
      <c r="HG103" s="292"/>
      <c r="HH103" s="292"/>
      <c r="HI103" s="292"/>
      <c r="HJ103" s="292"/>
      <c r="HK103" s="292"/>
      <c r="HL103" s="292"/>
      <c r="HM103" s="292"/>
      <c r="HN103" s="292"/>
      <c r="HO103" s="292"/>
      <c r="HP103" s="292"/>
      <c r="HQ103" s="292"/>
      <c r="HR103" s="292"/>
      <c r="HS103" s="292"/>
      <c r="HT103" s="292"/>
      <c r="HU103" s="292"/>
      <c r="HV103" s="292"/>
      <c r="HW103" s="292"/>
    </row>
    <row r="104" spans="1:231" ht="14.1" customHeight="1">
      <c r="A104" s="292"/>
      <c r="B104" s="311"/>
      <c r="C104" s="311"/>
      <c r="E104" s="329"/>
      <c r="F104" s="292"/>
      <c r="G104" s="292"/>
      <c r="H104" s="292"/>
      <c r="I104" s="292"/>
      <c r="K104" s="926"/>
      <c r="L104" s="922"/>
      <c r="M104" s="922"/>
      <c r="N104" s="922"/>
      <c r="O104" s="922"/>
      <c r="P104" s="922"/>
      <c r="Q104" s="922"/>
      <c r="R104" s="922"/>
      <c r="S104" s="922"/>
      <c r="T104" s="922"/>
      <c r="U104" s="291"/>
      <c r="V104" s="291"/>
      <c r="W104" s="291"/>
      <c r="X104" s="292"/>
      <c r="Y104" s="292"/>
      <c r="Z104" s="292"/>
      <c r="AA104" s="292"/>
      <c r="AB104" s="292"/>
      <c r="AC104" s="292"/>
      <c r="AD104" s="292"/>
      <c r="AE104" s="292"/>
      <c r="AF104" s="292"/>
      <c r="AG104" s="292"/>
      <c r="AH104" s="292"/>
      <c r="AI104" s="292"/>
      <c r="AJ104" s="292"/>
      <c r="AK104" s="292"/>
      <c r="AL104" s="292"/>
      <c r="AM104" s="292"/>
      <c r="AN104" s="292"/>
      <c r="AO104" s="292"/>
      <c r="AP104" s="292"/>
      <c r="AQ104" s="292"/>
      <c r="AR104" s="292"/>
      <c r="AS104" s="292"/>
      <c r="AT104" s="292"/>
      <c r="AU104" s="292"/>
      <c r="AV104" s="292"/>
      <c r="AW104" s="292"/>
      <c r="AX104" s="292"/>
      <c r="AY104" s="292"/>
      <c r="AZ104" s="292"/>
      <c r="BA104" s="292"/>
      <c r="BB104" s="292"/>
      <c r="BC104" s="292"/>
      <c r="BD104" s="292"/>
      <c r="BE104" s="292"/>
      <c r="BF104" s="292"/>
      <c r="BG104" s="292"/>
      <c r="BH104" s="292"/>
      <c r="BI104" s="292"/>
      <c r="BJ104" s="292"/>
      <c r="BK104" s="292"/>
      <c r="BL104" s="292"/>
      <c r="BM104" s="292"/>
      <c r="BN104" s="292"/>
      <c r="BO104" s="292"/>
      <c r="BP104" s="292"/>
      <c r="BQ104" s="292"/>
      <c r="BR104" s="292"/>
      <c r="BS104" s="292"/>
      <c r="BT104" s="292"/>
      <c r="BU104" s="292"/>
      <c r="BV104" s="292"/>
      <c r="BW104" s="292"/>
      <c r="BX104" s="292"/>
      <c r="BY104" s="292"/>
      <c r="BZ104" s="292"/>
      <c r="CA104" s="292"/>
      <c r="CB104" s="292"/>
      <c r="CC104" s="292"/>
      <c r="CD104" s="292"/>
      <c r="CE104" s="292"/>
      <c r="CF104" s="292"/>
      <c r="CG104" s="292"/>
      <c r="CH104" s="292"/>
      <c r="CI104" s="292"/>
      <c r="CJ104" s="292"/>
      <c r="CK104" s="292"/>
      <c r="CL104" s="292"/>
      <c r="CM104" s="292"/>
      <c r="CN104" s="292"/>
      <c r="CO104" s="292"/>
      <c r="CP104" s="292"/>
      <c r="CQ104" s="292"/>
      <c r="CR104" s="292"/>
      <c r="CS104" s="292"/>
      <c r="CT104" s="292"/>
      <c r="CU104" s="292"/>
      <c r="CV104" s="292"/>
      <c r="CW104" s="292"/>
      <c r="CX104" s="292"/>
      <c r="CY104" s="292"/>
      <c r="CZ104" s="292"/>
      <c r="DA104" s="292"/>
      <c r="DB104" s="292"/>
      <c r="DC104" s="292"/>
      <c r="DD104" s="292"/>
      <c r="DE104" s="292"/>
      <c r="DF104" s="292"/>
      <c r="DG104" s="292"/>
      <c r="DH104" s="292"/>
      <c r="DI104" s="292"/>
      <c r="DJ104" s="292"/>
      <c r="DK104" s="292"/>
      <c r="DL104" s="292"/>
      <c r="DM104" s="292"/>
      <c r="DN104" s="292"/>
      <c r="DO104" s="292"/>
      <c r="DP104" s="292"/>
      <c r="DQ104" s="292"/>
      <c r="DR104" s="292"/>
      <c r="DS104" s="292"/>
      <c r="DT104" s="292"/>
      <c r="DU104" s="292"/>
      <c r="DV104" s="292"/>
      <c r="DW104" s="292"/>
      <c r="DX104" s="292"/>
      <c r="DY104" s="292"/>
      <c r="DZ104" s="292"/>
      <c r="EA104" s="292"/>
      <c r="EB104" s="292"/>
      <c r="EC104" s="292"/>
      <c r="ED104" s="292"/>
      <c r="EE104" s="292"/>
      <c r="EF104" s="292"/>
      <c r="EG104" s="292"/>
      <c r="EH104" s="292"/>
      <c r="EI104" s="292"/>
      <c r="EJ104" s="292"/>
      <c r="EK104" s="292"/>
      <c r="EL104" s="292"/>
      <c r="EM104" s="292"/>
      <c r="EN104" s="292"/>
      <c r="EO104" s="292"/>
      <c r="EP104" s="292"/>
      <c r="EQ104" s="292"/>
      <c r="ER104" s="292"/>
      <c r="ES104" s="292"/>
      <c r="ET104" s="292"/>
      <c r="EU104" s="292"/>
      <c r="EV104" s="292"/>
      <c r="EW104" s="292"/>
      <c r="EX104" s="292"/>
      <c r="EY104" s="292"/>
      <c r="EZ104" s="292"/>
      <c r="FA104" s="292"/>
      <c r="FB104" s="292"/>
      <c r="FC104" s="292"/>
      <c r="FD104" s="292"/>
      <c r="FE104" s="292"/>
      <c r="FF104" s="292"/>
      <c r="FG104" s="292"/>
      <c r="FH104" s="292"/>
      <c r="FI104" s="292"/>
      <c r="FJ104" s="292"/>
      <c r="FK104" s="292"/>
      <c r="FL104" s="292"/>
      <c r="FM104" s="292"/>
      <c r="FN104" s="292"/>
      <c r="FO104" s="292"/>
      <c r="FP104" s="292"/>
      <c r="FQ104" s="292"/>
      <c r="FR104" s="292"/>
      <c r="FS104" s="292"/>
      <c r="FT104" s="292"/>
      <c r="FU104" s="292"/>
      <c r="FV104" s="292"/>
      <c r="FW104" s="292"/>
      <c r="FX104" s="292"/>
      <c r="FY104" s="292"/>
      <c r="FZ104" s="292"/>
      <c r="GA104" s="292"/>
      <c r="GB104" s="292"/>
      <c r="GC104" s="292"/>
      <c r="GD104" s="292"/>
      <c r="GE104" s="292"/>
      <c r="GF104" s="292"/>
      <c r="GG104" s="292"/>
      <c r="GH104" s="292"/>
      <c r="GI104" s="292"/>
      <c r="GJ104" s="292"/>
      <c r="GK104" s="292"/>
      <c r="GL104" s="292"/>
      <c r="GM104" s="292"/>
      <c r="GN104" s="292"/>
      <c r="GO104" s="292"/>
      <c r="GP104" s="292"/>
      <c r="GQ104" s="292"/>
      <c r="GR104" s="292"/>
      <c r="GS104" s="292"/>
      <c r="GT104" s="292"/>
      <c r="GU104" s="292"/>
      <c r="GV104" s="292"/>
      <c r="GW104" s="292"/>
      <c r="GX104" s="292"/>
      <c r="GY104" s="292"/>
      <c r="GZ104" s="292"/>
      <c r="HA104" s="292"/>
      <c r="HB104" s="292"/>
      <c r="HC104" s="292"/>
      <c r="HD104" s="292"/>
      <c r="HE104" s="292"/>
      <c r="HF104" s="292"/>
      <c r="HG104" s="292"/>
      <c r="HH104" s="292"/>
      <c r="HI104" s="292"/>
      <c r="HJ104" s="292"/>
      <c r="HK104" s="292"/>
      <c r="HL104" s="292"/>
      <c r="HM104" s="292"/>
      <c r="HN104" s="292"/>
      <c r="HO104" s="292"/>
      <c r="HP104" s="292"/>
      <c r="HQ104" s="292"/>
      <c r="HR104" s="292"/>
      <c r="HS104" s="292"/>
      <c r="HT104" s="292"/>
      <c r="HU104" s="292"/>
      <c r="HV104" s="292"/>
      <c r="HW104" s="292"/>
    </row>
    <row r="105" spans="1:231" ht="14.1" customHeight="1">
      <c r="A105" s="292"/>
      <c r="B105" s="311"/>
      <c r="C105" s="311"/>
      <c r="E105" s="329"/>
      <c r="F105" s="292"/>
      <c r="G105" s="292"/>
      <c r="H105" s="292"/>
      <c r="I105" s="292"/>
      <c r="K105" s="926"/>
      <c r="L105" s="922"/>
      <c r="M105" s="922"/>
      <c r="N105" s="922"/>
      <c r="O105" s="922"/>
      <c r="P105" s="922"/>
      <c r="Q105" s="922"/>
      <c r="R105" s="922"/>
      <c r="S105" s="922"/>
      <c r="T105" s="922"/>
      <c r="U105" s="291"/>
      <c r="V105" s="291"/>
      <c r="W105" s="291"/>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292"/>
      <c r="AV105" s="292"/>
      <c r="AW105" s="292"/>
      <c r="AX105" s="292"/>
      <c r="AY105" s="292"/>
      <c r="AZ105" s="292"/>
      <c r="BA105" s="292"/>
      <c r="BB105" s="292"/>
      <c r="BC105" s="292"/>
      <c r="BD105" s="292"/>
      <c r="BE105" s="292"/>
      <c r="BF105" s="292"/>
      <c r="BG105" s="292"/>
      <c r="BH105" s="292"/>
      <c r="BI105" s="292"/>
      <c r="BJ105" s="292"/>
      <c r="BK105" s="292"/>
      <c r="BL105" s="292"/>
      <c r="BM105" s="292"/>
      <c r="BN105" s="292"/>
      <c r="BO105" s="292"/>
      <c r="BP105" s="292"/>
      <c r="BQ105" s="292"/>
      <c r="BR105" s="292"/>
      <c r="BS105" s="292"/>
      <c r="BT105" s="292"/>
      <c r="BU105" s="292"/>
      <c r="BV105" s="292"/>
      <c r="BW105" s="292"/>
      <c r="BX105" s="292"/>
      <c r="BY105" s="292"/>
      <c r="BZ105" s="292"/>
      <c r="CA105" s="292"/>
      <c r="CB105" s="292"/>
      <c r="CC105" s="292"/>
      <c r="CD105" s="292"/>
      <c r="CE105" s="292"/>
      <c r="CF105" s="292"/>
      <c r="CG105" s="292"/>
      <c r="CH105" s="292"/>
      <c r="CI105" s="292"/>
      <c r="CJ105" s="292"/>
      <c r="CK105" s="292"/>
      <c r="CL105" s="292"/>
      <c r="CM105" s="292"/>
      <c r="CN105" s="292"/>
      <c r="CO105" s="292"/>
      <c r="CP105" s="292"/>
      <c r="CQ105" s="292"/>
      <c r="CR105" s="292"/>
      <c r="CS105" s="292"/>
      <c r="CT105" s="292"/>
      <c r="CU105" s="292"/>
      <c r="CV105" s="292"/>
      <c r="CW105" s="292"/>
      <c r="CX105" s="292"/>
      <c r="CY105" s="292"/>
      <c r="CZ105" s="292"/>
      <c r="DA105" s="292"/>
      <c r="DB105" s="292"/>
      <c r="DC105" s="292"/>
      <c r="DD105" s="292"/>
      <c r="DE105" s="292"/>
      <c r="DF105" s="292"/>
      <c r="DG105" s="292"/>
      <c r="DH105" s="292"/>
      <c r="DI105" s="292"/>
      <c r="DJ105" s="292"/>
      <c r="DK105" s="292"/>
      <c r="DL105" s="292"/>
      <c r="DM105" s="292"/>
      <c r="DN105" s="292"/>
      <c r="DO105" s="292"/>
      <c r="DP105" s="292"/>
      <c r="DQ105" s="292"/>
      <c r="DR105" s="292"/>
      <c r="DS105" s="292"/>
      <c r="DT105" s="292"/>
      <c r="DU105" s="292"/>
      <c r="DV105" s="292"/>
      <c r="DW105" s="292"/>
      <c r="DX105" s="292"/>
      <c r="DY105" s="292"/>
      <c r="DZ105" s="292"/>
      <c r="EA105" s="292"/>
      <c r="EB105" s="292"/>
      <c r="EC105" s="292"/>
      <c r="ED105" s="292"/>
      <c r="EE105" s="292"/>
      <c r="EF105" s="292"/>
      <c r="EG105" s="292"/>
      <c r="EH105" s="292"/>
      <c r="EI105" s="292"/>
      <c r="EJ105" s="292"/>
      <c r="EK105" s="292"/>
      <c r="EL105" s="292"/>
      <c r="EM105" s="292"/>
      <c r="EN105" s="292"/>
      <c r="EO105" s="292"/>
      <c r="EP105" s="292"/>
      <c r="EQ105" s="292"/>
      <c r="ER105" s="292"/>
      <c r="ES105" s="292"/>
      <c r="ET105" s="292"/>
      <c r="EU105" s="292"/>
      <c r="EV105" s="292"/>
      <c r="EW105" s="292"/>
      <c r="EX105" s="292"/>
      <c r="EY105" s="292"/>
      <c r="EZ105" s="292"/>
      <c r="FA105" s="292"/>
      <c r="FB105" s="292"/>
      <c r="FC105" s="292"/>
      <c r="FD105" s="292"/>
      <c r="FE105" s="292"/>
      <c r="FF105" s="292"/>
      <c r="FG105" s="292"/>
      <c r="FH105" s="292"/>
      <c r="FI105" s="292"/>
      <c r="FJ105" s="292"/>
      <c r="FK105" s="292"/>
      <c r="FL105" s="292"/>
      <c r="FM105" s="292"/>
      <c r="FN105" s="292"/>
      <c r="FO105" s="292"/>
      <c r="FP105" s="292"/>
      <c r="FQ105" s="292"/>
      <c r="FR105" s="292"/>
      <c r="FS105" s="292"/>
      <c r="FT105" s="292"/>
      <c r="FU105" s="292"/>
      <c r="FV105" s="292"/>
      <c r="FW105" s="292"/>
      <c r="FX105" s="292"/>
      <c r="FY105" s="292"/>
      <c r="FZ105" s="292"/>
      <c r="GA105" s="292"/>
      <c r="GB105" s="292"/>
      <c r="GC105" s="292"/>
      <c r="GD105" s="292"/>
      <c r="GE105" s="292"/>
      <c r="GF105" s="292"/>
      <c r="GG105" s="292"/>
      <c r="GH105" s="292"/>
      <c r="GI105" s="292"/>
      <c r="GJ105" s="292"/>
      <c r="GK105" s="292"/>
      <c r="GL105" s="292"/>
      <c r="GM105" s="292"/>
      <c r="GN105" s="292"/>
      <c r="GO105" s="292"/>
      <c r="GP105" s="292"/>
      <c r="GQ105" s="292"/>
      <c r="GR105" s="292"/>
      <c r="GS105" s="292"/>
      <c r="GT105" s="292"/>
      <c r="GU105" s="292"/>
      <c r="GV105" s="292"/>
      <c r="GW105" s="292"/>
      <c r="GX105" s="292"/>
      <c r="GY105" s="292"/>
      <c r="GZ105" s="292"/>
      <c r="HA105" s="292"/>
      <c r="HB105" s="292"/>
      <c r="HC105" s="292"/>
      <c r="HD105" s="292"/>
      <c r="HE105" s="292"/>
      <c r="HF105" s="292"/>
      <c r="HG105" s="292"/>
      <c r="HH105" s="292"/>
      <c r="HI105" s="292"/>
      <c r="HJ105" s="292"/>
      <c r="HK105" s="292"/>
      <c r="HL105" s="292"/>
      <c r="HM105" s="292"/>
      <c r="HN105" s="292"/>
      <c r="HO105" s="292"/>
      <c r="HP105" s="292"/>
      <c r="HQ105" s="292"/>
      <c r="HR105" s="292"/>
      <c r="HS105" s="292"/>
      <c r="HT105" s="292"/>
      <c r="HU105" s="292"/>
      <c r="HV105" s="292"/>
      <c r="HW105" s="292"/>
    </row>
    <row r="106" spans="1:231" ht="14.1" customHeight="1">
      <c r="A106" s="292"/>
      <c r="B106" s="311"/>
      <c r="C106" s="311"/>
      <c r="E106" s="329"/>
      <c r="F106" s="292"/>
      <c r="G106" s="292"/>
      <c r="H106" s="292"/>
      <c r="I106" s="292"/>
      <c r="K106" s="926"/>
      <c r="L106" s="922"/>
      <c r="M106" s="922"/>
      <c r="N106" s="922"/>
      <c r="O106" s="922"/>
      <c r="P106" s="922"/>
      <c r="Q106" s="922"/>
      <c r="R106" s="922"/>
      <c r="S106" s="922"/>
      <c r="T106" s="922"/>
      <c r="U106" s="291"/>
      <c r="V106" s="291"/>
      <c r="W106" s="291"/>
      <c r="X106" s="292"/>
      <c r="Y106" s="292"/>
      <c r="Z106" s="292"/>
      <c r="AA106" s="292"/>
      <c r="AB106" s="292"/>
      <c r="AC106" s="292"/>
      <c r="AD106" s="292"/>
      <c r="AE106" s="292"/>
      <c r="AF106" s="292"/>
      <c r="AG106" s="292"/>
      <c r="AH106" s="292"/>
      <c r="AI106" s="292"/>
      <c r="AJ106" s="292"/>
      <c r="AK106" s="292"/>
      <c r="AL106" s="292"/>
      <c r="AM106" s="292"/>
      <c r="AN106" s="292"/>
      <c r="AO106" s="292"/>
      <c r="AP106" s="292"/>
      <c r="AQ106" s="292"/>
      <c r="AR106" s="292"/>
      <c r="AS106" s="292"/>
      <c r="AT106" s="292"/>
      <c r="AU106" s="292"/>
      <c r="AV106" s="292"/>
      <c r="AW106" s="292"/>
      <c r="AX106" s="292"/>
      <c r="AY106" s="292"/>
      <c r="AZ106" s="292"/>
      <c r="BA106" s="292"/>
      <c r="BB106" s="292"/>
      <c r="BC106" s="292"/>
      <c r="BD106" s="292"/>
      <c r="BE106" s="292"/>
      <c r="BF106" s="292"/>
      <c r="BG106" s="292"/>
      <c r="BH106" s="292"/>
      <c r="BI106" s="292"/>
      <c r="BJ106" s="292"/>
      <c r="BK106" s="292"/>
      <c r="BL106" s="292"/>
      <c r="BM106" s="292"/>
      <c r="BN106" s="292"/>
      <c r="BO106" s="292"/>
      <c r="BP106" s="292"/>
      <c r="BQ106" s="292"/>
      <c r="BR106" s="292"/>
      <c r="BS106" s="292"/>
      <c r="BT106" s="292"/>
      <c r="BU106" s="292"/>
      <c r="BV106" s="292"/>
      <c r="BW106" s="292"/>
      <c r="BX106" s="292"/>
      <c r="BY106" s="292"/>
      <c r="BZ106" s="292"/>
      <c r="CA106" s="292"/>
      <c r="CB106" s="292"/>
      <c r="CC106" s="292"/>
      <c r="CD106" s="292"/>
      <c r="CE106" s="292"/>
      <c r="CF106" s="292"/>
      <c r="CG106" s="292"/>
      <c r="CH106" s="292"/>
      <c r="CI106" s="292"/>
      <c r="CJ106" s="292"/>
      <c r="CK106" s="292"/>
      <c r="CL106" s="292"/>
      <c r="CM106" s="292"/>
      <c r="CN106" s="292"/>
      <c r="CO106" s="292"/>
      <c r="CP106" s="292"/>
      <c r="CQ106" s="292"/>
      <c r="CR106" s="292"/>
      <c r="CS106" s="292"/>
      <c r="CT106" s="292"/>
      <c r="CU106" s="292"/>
      <c r="CV106" s="292"/>
      <c r="CW106" s="292"/>
      <c r="CX106" s="292"/>
      <c r="CY106" s="292"/>
      <c r="CZ106" s="292"/>
      <c r="DA106" s="292"/>
      <c r="DB106" s="292"/>
      <c r="DC106" s="292"/>
      <c r="DD106" s="292"/>
      <c r="DE106" s="292"/>
      <c r="DF106" s="292"/>
      <c r="DG106" s="292"/>
      <c r="DH106" s="292"/>
      <c r="DI106" s="292"/>
      <c r="DJ106" s="292"/>
      <c r="DK106" s="292"/>
      <c r="DL106" s="292"/>
      <c r="DM106" s="292"/>
      <c r="DN106" s="292"/>
      <c r="DO106" s="292"/>
      <c r="DP106" s="292"/>
      <c r="DQ106" s="292"/>
      <c r="DR106" s="292"/>
      <c r="DS106" s="292"/>
      <c r="DT106" s="292"/>
      <c r="DU106" s="292"/>
      <c r="DV106" s="292"/>
      <c r="DW106" s="292"/>
      <c r="DX106" s="292"/>
      <c r="DY106" s="292"/>
      <c r="DZ106" s="292"/>
      <c r="EA106" s="292"/>
      <c r="EB106" s="292"/>
      <c r="EC106" s="292"/>
      <c r="ED106" s="292"/>
      <c r="EE106" s="292"/>
      <c r="EF106" s="292"/>
      <c r="EG106" s="292"/>
      <c r="EH106" s="292"/>
      <c r="EI106" s="292"/>
      <c r="EJ106" s="292"/>
      <c r="EK106" s="292"/>
      <c r="EL106" s="292"/>
      <c r="EM106" s="292"/>
      <c r="EN106" s="292"/>
      <c r="EO106" s="292"/>
      <c r="EP106" s="292"/>
      <c r="EQ106" s="292"/>
      <c r="ER106" s="292"/>
      <c r="ES106" s="292"/>
      <c r="ET106" s="292"/>
      <c r="EU106" s="292"/>
      <c r="EV106" s="292"/>
      <c r="EW106" s="292"/>
      <c r="EX106" s="292"/>
      <c r="EY106" s="292"/>
      <c r="EZ106" s="292"/>
      <c r="FA106" s="292"/>
      <c r="FB106" s="292"/>
      <c r="FC106" s="292"/>
      <c r="FD106" s="292"/>
      <c r="FE106" s="292"/>
      <c r="FF106" s="292"/>
      <c r="FG106" s="292"/>
      <c r="FH106" s="292"/>
      <c r="FI106" s="292"/>
      <c r="FJ106" s="292"/>
      <c r="FK106" s="292"/>
      <c r="FL106" s="292"/>
      <c r="FM106" s="292"/>
      <c r="FN106" s="292"/>
      <c r="FO106" s="292"/>
      <c r="FP106" s="292"/>
      <c r="FQ106" s="292"/>
      <c r="FR106" s="292"/>
      <c r="FS106" s="292"/>
      <c r="FT106" s="292"/>
      <c r="FU106" s="292"/>
      <c r="FV106" s="292"/>
      <c r="FW106" s="292"/>
      <c r="FX106" s="292"/>
      <c r="FY106" s="292"/>
      <c r="FZ106" s="292"/>
      <c r="GA106" s="292"/>
      <c r="GB106" s="292"/>
      <c r="GC106" s="292"/>
      <c r="GD106" s="292"/>
      <c r="GE106" s="292"/>
      <c r="GF106" s="292"/>
      <c r="GG106" s="292"/>
      <c r="GH106" s="292"/>
      <c r="GI106" s="292"/>
      <c r="GJ106" s="292"/>
      <c r="GK106" s="292"/>
      <c r="GL106" s="292"/>
      <c r="GM106" s="292"/>
      <c r="GN106" s="292"/>
      <c r="GO106" s="292"/>
      <c r="GP106" s="292"/>
      <c r="GQ106" s="292"/>
      <c r="GR106" s="292"/>
      <c r="GS106" s="292"/>
      <c r="GT106" s="292"/>
      <c r="GU106" s="292"/>
      <c r="GV106" s="292"/>
      <c r="GW106" s="292"/>
      <c r="GX106" s="292"/>
      <c r="GY106" s="292"/>
      <c r="GZ106" s="292"/>
      <c r="HA106" s="292"/>
      <c r="HB106" s="292"/>
      <c r="HC106" s="292"/>
      <c r="HD106" s="292"/>
      <c r="HE106" s="292"/>
      <c r="HF106" s="292"/>
      <c r="HG106" s="292"/>
      <c r="HH106" s="292"/>
      <c r="HI106" s="292"/>
      <c r="HJ106" s="292"/>
      <c r="HK106" s="292"/>
      <c r="HL106" s="292"/>
      <c r="HM106" s="292"/>
      <c r="HN106" s="292"/>
      <c r="HO106" s="292"/>
      <c r="HP106" s="292"/>
      <c r="HQ106" s="292"/>
      <c r="HR106" s="292"/>
      <c r="HS106" s="292"/>
      <c r="HT106" s="292"/>
      <c r="HU106" s="292"/>
      <c r="HV106" s="292"/>
      <c r="HW106" s="292"/>
    </row>
    <row r="107" spans="1:231" ht="14.1" customHeight="1">
      <c r="A107" s="292"/>
      <c r="B107" s="311"/>
      <c r="C107" s="311"/>
      <c r="E107" s="329"/>
      <c r="F107" s="292"/>
      <c r="G107" s="292"/>
      <c r="H107" s="292"/>
      <c r="I107" s="292"/>
      <c r="K107" s="926"/>
      <c r="L107" s="922"/>
      <c r="M107" s="922"/>
      <c r="N107" s="922"/>
      <c r="O107" s="922"/>
      <c r="P107" s="922"/>
      <c r="Q107" s="922"/>
      <c r="R107" s="922"/>
      <c r="S107" s="922"/>
      <c r="T107" s="922"/>
      <c r="U107" s="291"/>
      <c r="V107" s="291"/>
      <c r="W107" s="291"/>
      <c r="X107" s="292"/>
      <c r="Y107" s="292"/>
      <c r="Z107" s="292"/>
      <c r="AA107" s="292"/>
      <c r="AB107" s="292"/>
      <c r="AC107" s="292"/>
      <c r="AD107" s="292"/>
      <c r="AE107" s="292"/>
      <c r="AF107" s="292"/>
      <c r="AG107" s="292"/>
      <c r="AH107" s="292"/>
      <c r="AI107" s="292"/>
      <c r="AJ107" s="292"/>
      <c r="AK107" s="292"/>
      <c r="AL107" s="292"/>
      <c r="AM107" s="292"/>
      <c r="AN107" s="292"/>
      <c r="AO107" s="292"/>
      <c r="AP107" s="292"/>
      <c r="AQ107" s="292"/>
      <c r="AR107" s="292"/>
      <c r="AS107" s="292"/>
      <c r="AT107" s="292"/>
      <c r="AU107" s="292"/>
      <c r="AV107" s="292"/>
      <c r="AW107" s="292"/>
      <c r="AX107" s="292"/>
      <c r="AY107" s="292"/>
      <c r="AZ107" s="292"/>
      <c r="BA107" s="292"/>
      <c r="BB107" s="292"/>
      <c r="BC107" s="292"/>
      <c r="BD107" s="292"/>
      <c r="BE107" s="292"/>
      <c r="BF107" s="292"/>
      <c r="BG107" s="292"/>
      <c r="BH107" s="292"/>
      <c r="BI107" s="292"/>
      <c r="BJ107" s="292"/>
      <c r="BK107" s="292"/>
      <c r="BL107" s="292"/>
      <c r="BM107" s="292"/>
      <c r="BN107" s="292"/>
      <c r="BO107" s="292"/>
      <c r="BP107" s="292"/>
      <c r="BQ107" s="292"/>
      <c r="BR107" s="292"/>
      <c r="BS107" s="292"/>
      <c r="BT107" s="292"/>
      <c r="BU107" s="292"/>
      <c r="BV107" s="292"/>
      <c r="BW107" s="292"/>
      <c r="BX107" s="292"/>
      <c r="BY107" s="292"/>
      <c r="BZ107" s="292"/>
      <c r="CA107" s="292"/>
      <c r="CB107" s="292"/>
      <c r="CC107" s="292"/>
      <c r="CD107" s="292"/>
      <c r="CE107" s="292"/>
      <c r="CF107" s="292"/>
      <c r="CG107" s="292"/>
      <c r="CH107" s="292"/>
      <c r="CI107" s="292"/>
      <c r="CJ107" s="292"/>
      <c r="CK107" s="292"/>
      <c r="CL107" s="292"/>
      <c r="CM107" s="292"/>
      <c r="CN107" s="292"/>
      <c r="CO107" s="292"/>
      <c r="CP107" s="292"/>
      <c r="CQ107" s="292"/>
      <c r="CR107" s="292"/>
      <c r="CS107" s="292"/>
      <c r="CT107" s="292"/>
      <c r="CU107" s="292"/>
      <c r="CV107" s="292"/>
      <c r="CW107" s="292"/>
      <c r="CX107" s="292"/>
      <c r="CY107" s="292"/>
      <c r="CZ107" s="292"/>
      <c r="DA107" s="292"/>
      <c r="DB107" s="292"/>
      <c r="DC107" s="292"/>
      <c r="DD107" s="292"/>
      <c r="DE107" s="292"/>
      <c r="DF107" s="292"/>
      <c r="DG107" s="292"/>
      <c r="DH107" s="292"/>
      <c r="DI107" s="292"/>
      <c r="DJ107" s="292"/>
      <c r="DK107" s="292"/>
      <c r="DL107" s="292"/>
      <c r="DM107" s="292"/>
      <c r="DN107" s="292"/>
      <c r="DO107" s="292"/>
      <c r="DP107" s="292"/>
      <c r="DQ107" s="292"/>
      <c r="DR107" s="292"/>
      <c r="DS107" s="292"/>
      <c r="DT107" s="292"/>
      <c r="DU107" s="292"/>
      <c r="DV107" s="292"/>
      <c r="DW107" s="292"/>
      <c r="DX107" s="292"/>
      <c r="DY107" s="292"/>
      <c r="DZ107" s="292"/>
      <c r="EA107" s="292"/>
      <c r="EB107" s="292"/>
      <c r="EC107" s="292"/>
      <c r="ED107" s="292"/>
      <c r="EE107" s="292"/>
      <c r="EF107" s="292"/>
      <c r="EG107" s="292"/>
      <c r="EH107" s="292"/>
      <c r="EI107" s="292"/>
      <c r="EJ107" s="292"/>
      <c r="EK107" s="292"/>
      <c r="EL107" s="292"/>
      <c r="EM107" s="292"/>
      <c r="EN107" s="292"/>
      <c r="EO107" s="292"/>
      <c r="EP107" s="292"/>
      <c r="EQ107" s="292"/>
      <c r="ER107" s="292"/>
      <c r="ES107" s="292"/>
      <c r="ET107" s="292"/>
      <c r="EU107" s="292"/>
      <c r="EV107" s="292"/>
      <c r="EW107" s="292"/>
      <c r="EX107" s="292"/>
      <c r="EY107" s="292"/>
      <c r="EZ107" s="292"/>
      <c r="FA107" s="292"/>
      <c r="FB107" s="292"/>
      <c r="FC107" s="292"/>
      <c r="FD107" s="292"/>
      <c r="FE107" s="292"/>
      <c r="FF107" s="292"/>
      <c r="FG107" s="292"/>
      <c r="FH107" s="292"/>
      <c r="FI107" s="292"/>
      <c r="FJ107" s="292"/>
      <c r="FK107" s="292"/>
      <c r="FL107" s="292"/>
      <c r="FM107" s="292"/>
      <c r="FN107" s="292"/>
      <c r="FO107" s="292"/>
      <c r="FP107" s="292"/>
      <c r="FQ107" s="292"/>
      <c r="FR107" s="292"/>
      <c r="FS107" s="292"/>
      <c r="FT107" s="292"/>
      <c r="FU107" s="292"/>
      <c r="FV107" s="292"/>
      <c r="FW107" s="292"/>
      <c r="FX107" s="292"/>
      <c r="FY107" s="292"/>
      <c r="FZ107" s="292"/>
      <c r="GA107" s="292"/>
      <c r="GB107" s="292"/>
      <c r="GC107" s="292"/>
      <c r="GD107" s="292"/>
      <c r="GE107" s="292"/>
      <c r="GF107" s="292"/>
      <c r="GG107" s="292"/>
      <c r="GH107" s="292"/>
      <c r="GI107" s="292"/>
      <c r="GJ107" s="292"/>
      <c r="GK107" s="292"/>
      <c r="GL107" s="292"/>
      <c r="GM107" s="292"/>
      <c r="GN107" s="292"/>
      <c r="GO107" s="292"/>
      <c r="GP107" s="292"/>
      <c r="GQ107" s="292"/>
      <c r="GR107" s="292"/>
      <c r="GS107" s="292"/>
      <c r="GT107" s="292"/>
      <c r="GU107" s="292"/>
      <c r="GV107" s="292"/>
      <c r="GW107" s="292"/>
      <c r="GX107" s="292"/>
      <c r="GY107" s="292"/>
      <c r="GZ107" s="292"/>
      <c r="HA107" s="292"/>
      <c r="HB107" s="292"/>
      <c r="HC107" s="292"/>
      <c r="HD107" s="292"/>
      <c r="HE107" s="292"/>
      <c r="HF107" s="292"/>
      <c r="HG107" s="292"/>
      <c r="HH107" s="292"/>
      <c r="HI107" s="292"/>
      <c r="HJ107" s="292"/>
      <c r="HK107" s="292"/>
      <c r="HL107" s="292"/>
      <c r="HM107" s="292"/>
      <c r="HN107" s="292"/>
      <c r="HO107" s="292"/>
      <c r="HP107" s="292"/>
      <c r="HQ107" s="292"/>
      <c r="HR107" s="292"/>
      <c r="HS107" s="292"/>
      <c r="HT107" s="292"/>
      <c r="HU107" s="292"/>
      <c r="HV107" s="292"/>
      <c r="HW107" s="292"/>
    </row>
    <row r="108" spans="1:231" ht="14.1" customHeight="1">
      <c r="A108" s="292"/>
      <c r="B108" s="311"/>
      <c r="C108" s="311"/>
      <c r="E108" s="329"/>
      <c r="F108" s="292"/>
      <c r="G108" s="292"/>
      <c r="H108" s="292"/>
      <c r="I108" s="292"/>
      <c r="K108" s="926"/>
      <c r="L108" s="922"/>
      <c r="M108" s="922"/>
      <c r="N108" s="922"/>
      <c r="O108" s="922"/>
      <c r="P108" s="922"/>
      <c r="Q108" s="922"/>
      <c r="R108" s="922"/>
      <c r="S108" s="922"/>
      <c r="T108" s="922"/>
      <c r="U108" s="291"/>
      <c r="V108" s="291"/>
      <c r="W108" s="291"/>
      <c r="X108" s="292"/>
      <c r="Y108" s="292"/>
      <c r="Z108" s="292"/>
      <c r="AA108" s="292"/>
      <c r="AB108" s="292"/>
      <c r="AC108" s="292"/>
      <c r="AD108" s="292"/>
      <c r="AE108" s="292"/>
      <c r="AF108" s="292"/>
      <c r="AG108" s="292"/>
      <c r="AH108" s="292"/>
      <c r="AI108" s="292"/>
      <c r="AJ108" s="292"/>
      <c r="AK108" s="292"/>
      <c r="AL108" s="292"/>
      <c r="AM108" s="292"/>
      <c r="AN108" s="292"/>
      <c r="AO108" s="292"/>
      <c r="AP108" s="292"/>
      <c r="AQ108" s="292"/>
      <c r="AR108" s="292"/>
      <c r="AS108" s="292"/>
      <c r="AT108" s="292"/>
      <c r="AU108" s="292"/>
      <c r="AV108" s="292"/>
      <c r="AW108" s="292"/>
      <c r="AX108" s="292"/>
      <c r="AY108" s="292"/>
      <c r="AZ108" s="292"/>
      <c r="BA108" s="292"/>
      <c r="BB108" s="292"/>
      <c r="BC108" s="292"/>
      <c r="BD108" s="292"/>
      <c r="BE108" s="292"/>
      <c r="BF108" s="292"/>
      <c r="BG108" s="292"/>
      <c r="BH108" s="292"/>
      <c r="BI108" s="292"/>
      <c r="BJ108" s="292"/>
      <c r="BK108" s="292"/>
      <c r="BL108" s="292"/>
      <c r="BM108" s="292"/>
      <c r="BN108" s="292"/>
      <c r="BO108" s="292"/>
      <c r="BP108" s="292"/>
      <c r="BQ108" s="292"/>
      <c r="BR108" s="292"/>
      <c r="BS108" s="292"/>
      <c r="BT108" s="292"/>
      <c r="BU108" s="292"/>
      <c r="BV108" s="292"/>
      <c r="BW108" s="292"/>
      <c r="BX108" s="292"/>
      <c r="BY108" s="292"/>
      <c r="BZ108" s="292"/>
      <c r="CA108" s="292"/>
      <c r="CB108" s="292"/>
      <c r="CC108" s="292"/>
      <c r="CD108" s="292"/>
      <c r="CE108" s="292"/>
      <c r="CF108" s="292"/>
      <c r="CG108" s="292"/>
      <c r="CH108" s="292"/>
      <c r="CI108" s="292"/>
      <c r="CJ108" s="292"/>
      <c r="CK108" s="292"/>
      <c r="CL108" s="292"/>
      <c r="CM108" s="292"/>
      <c r="CN108" s="292"/>
      <c r="CO108" s="292"/>
      <c r="CP108" s="292"/>
      <c r="CQ108" s="292"/>
      <c r="CR108" s="292"/>
      <c r="CS108" s="292"/>
      <c r="CT108" s="292"/>
      <c r="CU108" s="292"/>
      <c r="CV108" s="292"/>
      <c r="CW108" s="292"/>
      <c r="CX108" s="292"/>
      <c r="CY108" s="292"/>
      <c r="CZ108" s="292"/>
      <c r="DA108" s="292"/>
      <c r="DB108" s="292"/>
      <c r="DC108" s="292"/>
      <c r="DD108" s="292"/>
      <c r="DE108" s="292"/>
      <c r="DF108" s="292"/>
      <c r="DG108" s="292"/>
      <c r="DH108" s="292"/>
      <c r="DI108" s="292"/>
      <c r="DJ108" s="292"/>
      <c r="DK108" s="292"/>
      <c r="DL108" s="292"/>
      <c r="DM108" s="292"/>
      <c r="DN108" s="292"/>
      <c r="DO108" s="292"/>
      <c r="DP108" s="292"/>
      <c r="DQ108" s="292"/>
      <c r="DR108" s="292"/>
      <c r="DS108" s="292"/>
      <c r="DT108" s="292"/>
      <c r="DU108" s="292"/>
      <c r="DV108" s="292"/>
      <c r="DW108" s="292"/>
      <c r="DX108" s="292"/>
      <c r="DY108" s="292"/>
      <c r="DZ108" s="292"/>
      <c r="EA108" s="292"/>
      <c r="EB108" s="292"/>
      <c r="EC108" s="292"/>
      <c r="ED108" s="292"/>
      <c r="EE108" s="292"/>
      <c r="EF108" s="292"/>
      <c r="EG108" s="292"/>
      <c r="EH108" s="292"/>
      <c r="EI108" s="292"/>
      <c r="EJ108" s="292"/>
      <c r="EK108" s="292"/>
      <c r="EL108" s="292"/>
      <c r="EM108" s="292"/>
      <c r="EN108" s="292"/>
      <c r="EO108" s="292"/>
      <c r="EP108" s="292"/>
      <c r="EQ108" s="292"/>
      <c r="ER108" s="292"/>
      <c r="ES108" s="292"/>
      <c r="ET108" s="292"/>
      <c r="EU108" s="292"/>
      <c r="EV108" s="292"/>
      <c r="EW108" s="292"/>
      <c r="EX108" s="292"/>
      <c r="EY108" s="292"/>
      <c r="EZ108" s="292"/>
      <c r="FA108" s="292"/>
      <c r="FB108" s="292"/>
      <c r="FC108" s="292"/>
      <c r="FD108" s="292"/>
      <c r="FE108" s="292"/>
      <c r="FF108" s="292"/>
      <c r="FG108" s="292"/>
      <c r="FH108" s="292"/>
      <c r="FI108" s="292"/>
      <c r="FJ108" s="292"/>
      <c r="FK108" s="292"/>
      <c r="FL108" s="292"/>
      <c r="FM108" s="292"/>
      <c r="FN108" s="292"/>
      <c r="FO108" s="292"/>
      <c r="FP108" s="292"/>
      <c r="FQ108" s="292"/>
      <c r="FR108" s="292"/>
      <c r="FS108" s="292"/>
      <c r="FT108" s="292"/>
      <c r="FU108" s="292"/>
      <c r="FV108" s="292"/>
      <c r="FW108" s="292"/>
      <c r="FX108" s="292"/>
      <c r="FY108" s="292"/>
      <c r="FZ108" s="292"/>
      <c r="GA108" s="292"/>
      <c r="GB108" s="292"/>
      <c r="GC108" s="292"/>
      <c r="GD108" s="292"/>
      <c r="GE108" s="292"/>
      <c r="GF108" s="292"/>
      <c r="GG108" s="292"/>
      <c r="GH108" s="292"/>
      <c r="GI108" s="292"/>
      <c r="GJ108" s="292"/>
      <c r="GK108" s="292"/>
      <c r="GL108" s="292"/>
      <c r="GM108" s="292"/>
      <c r="GN108" s="292"/>
      <c r="GO108" s="292"/>
      <c r="GP108" s="292"/>
      <c r="GQ108" s="292"/>
      <c r="GR108" s="292"/>
      <c r="GS108" s="292"/>
      <c r="GT108" s="292"/>
      <c r="GU108" s="292"/>
      <c r="GV108" s="292"/>
      <c r="GW108" s="292"/>
      <c r="GX108" s="292"/>
      <c r="GY108" s="292"/>
      <c r="GZ108" s="292"/>
      <c r="HA108" s="292"/>
      <c r="HB108" s="292"/>
      <c r="HC108" s="292"/>
      <c r="HD108" s="292"/>
      <c r="HE108" s="292"/>
      <c r="HF108" s="292"/>
      <c r="HG108" s="292"/>
      <c r="HH108" s="292"/>
      <c r="HI108" s="292"/>
      <c r="HJ108" s="292"/>
      <c r="HK108" s="292"/>
      <c r="HL108" s="292"/>
      <c r="HM108" s="292"/>
      <c r="HN108" s="292"/>
      <c r="HO108" s="292"/>
      <c r="HP108" s="292"/>
      <c r="HQ108" s="292"/>
      <c r="HR108" s="292"/>
      <c r="HS108" s="292"/>
      <c r="HT108" s="292"/>
      <c r="HU108" s="292"/>
      <c r="HV108" s="292"/>
      <c r="HW108" s="292"/>
    </row>
    <row r="109" spans="1:231" ht="14.1" customHeight="1">
      <c r="F109" s="292"/>
      <c r="G109" s="292"/>
      <c r="H109" s="292"/>
      <c r="I109" s="292"/>
      <c r="K109" s="926"/>
      <c r="L109" s="922"/>
      <c r="M109" s="922"/>
      <c r="N109" s="922"/>
      <c r="O109" s="922"/>
      <c r="P109" s="922"/>
      <c r="Q109" s="922"/>
      <c r="R109" s="922"/>
      <c r="S109" s="922"/>
      <c r="T109" s="922"/>
      <c r="U109" s="291"/>
      <c r="V109" s="291"/>
      <c r="W109" s="291"/>
      <c r="X109" s="292"/>
      <c r="Y109" s="292"/>
      <c r="Z109" s="292"/>
      <c r="AA109" s="292"/>
      <c r="AB109" s="292"/>
      <c r="AC109" s="292"/>
      <c r="AD109" s="292"/>
      <c r="AE109" s="292"/>
      <c r="AF109" s="292"/>
      <c r="AG109" s="292"/>
      <c r="AH109" s="292"/>
      <c r="AI109" s="292"/>
      <c r="AJ109" s="292"/>
      <c r="AK109" s="292"/>
      <c r="AL109" s="292"/>
      <c r="AM109" s="292"/>
      <c r="AN109" s="292"/>
      <c r="AO109" s="292"/>
      <c r="AP109" s="292"/>
      <c r="AQ109" s="292"/>
      <c r="AR109" s="292"/>
      <c r="AS109" s="292"/>
      <c r="AT109" s="292"/>
      <c r="AU109" s="292"/>
      <c r="AV109" s="292"/>
      <c r="AW109" s="292"/>
      <c r="AX109" s="292"/>
      <c r="AY109" s="292"/>
      <c r="AZ109" s="292"/>
      <c r="BA109" s="292"/>
      <c r="BB109" s="292"/>
      <c r="BC109" s="292"/>
      <c r="BD109" s="292"/>
      <c r="BE109" s="292"/>
      <c r="BF109" s="292"/>
      <c r="BG109" s="292"/>
      <c r="BH109" s="292"/>
      <c r="BI109" s="292"/>
      <c r="BJ109" s="292"/>
      <c r="BK109" s="292"/>
      <c r="BL109" s="292"/>
      <c r="BM109" s="292"/>
      <c r="BN109" s="292"/>
      <c r="BO109" s="292"/>
      <c r="BP109" s="292"/>
      <c r="BQ109" s="292"/>
      <c r="BR109" s="292"/>
      <c r="BS109" s="292"/>
      <c r="BT109" s="292"/>
      <c r="BU109" s="292"/>
      <c r="BV109" s="292"/>
      <c r="BW109" s="292"/>
      <c r="BX109" s="292"/>
      <c r="BY109" s="292"/>
      <c r="BZ109" s="292"/>
      <c r="CA109" s="292"/>
      <c r="CB109" s="292"/>
      <c r="CC109" s="292"/>
      <c r="CD109" s="292"/>
      <c r="CE109" s="292"/>
      <c r="CF109" s="292"/>
      <c r="CG109" s="292"/>
      <c r="CH109" s="292"/>
      <c r="CI109" s="292"/>
      <c r="CJ109" s="292"/>
      <c r="CK109" s="292"/>
      <c r="CL109" s="292"/>
      <c r="CM109" s="292"/>
      <c r="CN109" s="292"/>
      <c r="CO109" s="292"/>
      <c r="CP109" s="292"/>
      <c r="CQ109" s="292"/>
      <c r="CR109" s="292"/>
      <c r="CS109" s="292"/>
      <c r="CT109" s="292"/>
      <c r="CU109" s="292"/>
      <c r="CV109" s="292"/>
      <c r="CW109" s="292"/>
      <c r="CX109" s="292"/>
      <c r="CY109" s="292"/>
      <c r="CZ109" s="292"/>
      <c r="DA109" s="292"/>
      <c r="DB109" s="292"/>
      <c r="DC109" s="292"/>
      <c r="DD109" s="292"/>
      <c r="DE109" s="292"/>
      <c r="DF109" s="292"/>
      <c r="DG109" s="292"/>
      <c r="DH109" s="292"/>
      <c r="DI109" s="292"/>
      <c r="DJ109" s="292"/>
      <c r="DK109" s="292"/>
      <c r="DL109" s="292"/>
      <c r="DM109" s="292"/>
      <c r="DN109" s="292"/>
      <c r="DO109" s="292"/>
      <c r="DP109" s="292"/>
      <c r="DQ109" s="292"/>
      <c r="DR109" s="292"/>
      <c r="DS109" s="292"/>
      <c r="DT109" s="292"/>
      <c r="DU109" s="292"/>
      <c r="DV109" s="292"/>
      <c r="DW109" s="292"/>
      <c r="DX109" s="292"/>
      <c r="DY109" s="292"/>
      <c r="DZ109" s="292"/>
      <c r="EA109" s="292"/>
      <c r="EB109" s="292"/>
      <c r="EC109" s="292"/>
      <c r="ED109" s="292"/>
      <c r="EE109" s="292"/>
      <c r="EF109" s="292"/>
      <c r="EG109" s="292"/>
      <c r="EH109" s="292"/>
      <c r="EI109" s="292"/>
      <c r="EJ109" s="292"/>
      <c r="EK109" s="292"/>
      <c r="EL109" s="292"/>
      <c r="EM109" s="292"/>
      <c r="EN109" s="292"/>
      <c r="EO109" s="292"/>
      <c r="EP109" s="292"/>
      <c r="EQ109" s="292"/>
      <c r="ER109" s="292"/>
      <c r="ES109" s="292"/>
      <c r="ET109" s="292"/>
      <c r="EU109" s="292"/>
      <c r="EV109" s="292"/>
      <c r="EW109" s="292"/>
      <c r="EX109" s="292"/>
      <c r="EY109" s="292"/>
      <c r="EZ109" s="292"/>
      <c r="FA109" s="292"/>
      <c r="FB109" s="292"/>
      <c r="FC109" s="292"/>
      <c r="FD109" s="292"/>
      <c r="FE109" s="292"/>
      <c r="FF109" s="292"/>
      <c r="FG109" s="292"/>
      <c r="FH109" s="292"/>
      <c r="FI109" s="292"/>
      <c r="FJ109" s="292"/>
      <c r="FK109" s="292"/>
      <c r="FL109" s="292"/>
      <c r="FM109" s="292"/>
      <c r="FN109" s="292"/>
      <c r="FO109" s="292"/>
      <c r="FP109" s="292"/>
      <c r="FQ109" s="292"/>
      <c r="FR109" s="292"/>
      <c r="FS109" s="292"/>
      <c r="FT109" s="292"/>
      <c r="FU109" s="292"/>
      <c r="FV109" s="292"/>
      <c r="FW109" s="292"/>
      <c r="FX109" s="292"/>
      <c r="FY109" s="292"/>
      <c r="FZ109" s="292"/>
      <c r="GA109" s="292"/>
      <c r="GB109" s="292"/>
      <c r="GC109" s="292"/>
      <c r="GD109" s="292"/>
      <c r="GE109" s="292"/>
      <c r="GF109" s="292"/>
      <c r="GG109" s="292"/>
      <c r="GH109" s="292"/>
      <c r="GI109" s="292"/>
      <c r="GJ109" s="292"/>
      <c r="GK109" s="292"/>
      <c r="GL109" s="292"/>
      <c r="GM109" s="292"/>
      <c r="GN109" s="292"/>
      <c r="GO109" s="292"/>
      <c r="GP109" s="292"/>
      <c r="GQ109" s="292"/>
      <c r="GR109" s="292"/>
      <c r="GS109" s="292"/>
      <c r="GT109" s="292"/>
      <c r="GU109" s="292"/>
      <c r="GV109" s="292"/>
      <c r="GW109" s="292"/>
      <c r="GX109" s="292"/>
      <c r="GY109" s="292"/>
      <c r="GZ109" s="292"/>
      <c r="HA109" s="292"/>
      <c r="HB109" s="292"/>
      <c r="HC109" s="292"/>
      <c r="HD109" s="292"/>
      <c r="HE109" s="292"/>
      <c r="HF109" s="292"/>
      <c r="HG109" s="292"/>
      <c r="HH109" s="292"/>
      <c r="HI109" s="292"/>
      <c r="HJ109" s="292"/>
      <c r="HK109" s="292"/>
      <c r="HL109" s="292"/>
      <c r="HM109" s="292"/>
      <c r="HN109" s="292"/>
      <c r="HO109" s="292"/>
      <c r="HP109" s="292"/>
      <c r="HQ109" s="292"/>
      <c r="HR109" s="292"/>
      <c r="HS109" s="292"/>
      <c r="HT109" s="292"/>
      <c r="HU109" s="292"/>
      <c r="HV109" s="292"/>
      <c r="HW109" s="292"/>
    </row>
    <row r="110" spans="1:231" ht="14.1" customHeight="1">
      <c r="F110" s="292"/>
      <c r="G110" s="292"/>
      <c r="H110" s="292"/>
      <c r="I110" s="292"/>
      <c r="K110" s="926"/>
      <c r="L110" s="922"/>
      <c r="M110" s="922"/>
      <c r="N110" s="922"/>
      <c r="O110" s="922"/>
      <c r="P110" s="922"/>
      <c r="Q110" s="922"/>
      <c r="R110" s="922"/>
      <c r="S110" s="922"/>
      <c r="T110" s="922"/>
      <c r="U110" s="291"/>
      <c r="V110" s="291"/>
      <c r="W110" s="291"/>
      <c r="X110" s="292"/>
      <c r="Y110" s="292"/>
      <c r="Z110" s="292"/>
      <c r="AA110" s="292"/>
      <c r="AB110" s="292"/>
      <c r="AC110" s="292"/>
      <c r="AD110" s="292"/>
      <c r="AE110" s="292"/>
      <c r="AF110" s="292"/>
      <c r="AG110" s="292"/>
      <c r="AH110" s="292"/>
      <c r="AI110" s="292"/>
      <c r="AJ110" s="292"/>
      <c r="AK110" s="292"/>
      <c r="AL110" s="292"/>
      <c r="AM110" s="292"/>
      <c r="AN110" s="292"/>
      <c r="AO110" s="292"/>
      <c r="AP110" s="292"/>
      <c r="AQ110" s="292"/>
      <c r="AR110" s="292"/>
      <c r="AS110" s="292"/>
      <c r="AT110" s="292"/>
      <c r="AU110" s="292"/>
      <c r="AV110" s="292"/>
      <c r="AW110" s="292"/>
      <c r="AX110" s="292"/>
      <c r="AY110" s="292"/>
      <c r="AZ110" s="292"/>
      <c r="BA110" s="292"/>
      <c r="BB110" s="292"/>
      <c r="BC110" s="292"/>
      <c r="BD110" s="292"/>
      <c r="BE110" s="292"/>
      <c r="BF110" s="292"/>
      <c r="BG110" s="292"/>
      <c r="BH110" s="292"/>
      <c r="BI110" s="292"/>
      <c r="BJ110" s="292"/>
      <c r="BK110" s="292"/>
      <c r="BL110" s="292"/>
      <c r="BM110" s="292"/>
      <c r="BN110" s="292"/>
      <c r="BO110" s="292"/>
      <c r="BP110" s="292"/>
      <c r="BQ110" s="292"/>
      <c r="BR110" s="292"/>
      <c r="BS110" s="292"/>
      <c r="BT110" s="292"/>
      <c r="BU110" s="292"/>
      <c r="BV110" s="292"/>
      <c r="BW110" s="292"/>
      <c r="BX110" s="292"/>
      <c r="BY110" s="292"/>
      <c r="BZ110" s="292"/>
      <c r="CA110" s="292"/>
      <c r="CB110" s="292"/>
      <c r="CC110" s="292"/>
      <c r="CD110" s="292"/>
      <c r="CE110" s="292"/>
      <c r="CF110" s="292"/>
      <c r="CG110" s="292"/>
      <c r="CH110" s="292"/>
      <c r="CI110" s="292"/>
      <c r="CJ110" s="292"/>
      <c r="CK110" s="292"/>
      <c r="CL110" s="292"/>
      <c r="CM110" s="292"/>
      <c r="CN110" s="292"/>
      <c r="CO110" s="292"/>
      <c r="CP110" s="292"/>
      <c r="CQ110" s="292"/>
      <c r="CR110" s="292"/>
      <c r="CS110" s="292"/>
      <c r="CT110" s="292"/>
      <c r="CU110" s="292"/>
      <c r="CV110" s="292"/>
      <c r="CW110" s="292"/>
      <c r="CX110" s="292"/>
      <c r="CY110" s="292"/>
      <c r="CZ110" s="292"/>
      <c r="DA110" s="292"/>
      <c r="DB110" s="292"/>
      <c r="DC110" s="292"/>
      <c r="DD110" s="292"/>
      <c r="DE110" s="292"/>
      <c r="DF110" s="292"/>
      <c r="DG110" s="292"/>
      <c r="DH110" s="292"/>
      <c r="DI110" s="292"/>
      <c r="DJ110" s="292"/>
      <c r="DK110" s="292"/>
      <c r="DL110" s="292"/>
      <c r="DM110" s="292"/>
      <c r="DN110" s="292"/>
      <c r="DO110" s="292"/>
      <c r="DP110" s="292"/>
      <c r="DQ110" s="292"/>
      <c r="DR110" s="292"/>
      <c r="DS110" s="292"/>
      <c r="DT110" s="292"/>
      <c r="DU110" s="292"/>
      <c r="DV110" s="292"/>
      <c r="DW110" s="292"/>
      <c r="DX110" s="292"/>
      <c r="DY110" s="292"/>
      <c r="DZ110" s="292"/>
      <c r="EA110" s="292"/>
      <c r="EB110" s="292"/>
      <c r="EC110" s="292"/>
      <c r="ED110" s="292"/>
      <c r="EE110" s="292"/>
      <c r="EF110" s="292"/>
      <c r="EG110" s="292"/>
      <c r="EH110" s="292"/>
      <c r="EI110" s="292"/>
      <c r="EJ110" s="292"/>
      <c r="EK110" s="292"/>
      <c r="EL110" s="292"/>
      <c r="EM110" s="292"/>
      <c r="EN110" s="292"/>
      <c r="EO110" s="292"/>
      <c r="EP110" s="292"/>
      <c r="EQ110" s="292"/>
      <c r="ER110" s="292"/>
      <c r="ES110" s="292"/>
      <c r="ET110" s="292"/>
      <c r="EU110" s="292"/>
      <c r="EV110" s="292"/>
      <c r="EW110" s="292"/>
      <c r="EX110" s="292"/>
      <c r="EY110" s="292"/>
      <c r="EZ110" s="292"/>
      <c r="FA110" s="292"/>
      <c r="FB110" s="292"/>
      <c r="FC110" s="292"/>
      <c r="FD110" s="292"/>
      <c r="FE110" s="292"/>
      <c r="FF110" s="292"/>
      <c r="FG110" s="292"/>
      <c r="FH110" s="292"/>
      <c r="FI110" s="292"/>
      <c r="FJ110" s="292"/>
      <c r="FK110" s="292"/>
      <c r="FL110" s="292"/>
      <c r="FM110" s="292"/>
      <c r="FN110" s="292"/>
      <c r="FO110" s="292"/>
      <c r="FP110" s="292"/>
      <c r="FQ110" s="292"/>
      <c r="FR110" s="292"/>
      <c r="FS110" s="292"/>
      <c r="FT110" s="292"/>
      <c r="FU110" s="292"/>
      <c r="FV110" s="292"/>
      <c r="FW110" s="292"/>
      <c r="FX110" s="292"/>
      <c r="FY110" s="292"/>
      <c r="FZ110" s="292"/>
      <c r="GA110" s="292"/>
      <c r="GB110" s="292"/>
      <c r="GC110" s="292"/>
      <c r="GD110" s="292"/>
      <c r="GE110" s="292"/>
      <c r="GF110" s="292"/>
      <c r="GG110" s="292"/>
      <c r="GH110" s="292"/>
      <c r="GI110" s="292"/>
      <c r="GJ110" s="292"/>
      <c r="GK110" s="292"/>
      <c r="GL110" s="292"/>
      <c r="GM110" s="292"/>
      <c r="GN110" s="292"/>
      <c r="GO110" s="292"/>
      <c r="GP110" s="292"/>
      <c r="GQ110" s="292"/>
      <c r="GR110" s="292"/>
      <c r="GS110" s="292"/>
      <c r="GT110" s="292"/>
      <c r="GU110" s="292"/>
      <c r="GV110" s="292"/>
      <c r="GW110" s="292"/>
      <c r="GX110" s="292"/>
      <c r="GY110" s="292"/>
      <c r="GZ110" s="292"/>
      <c r="HA110" s="292"/>
      <c r="HB110" s="292"/>
      <c r="HC110" s="292"/>
      <c r="HD110" s="292"/>
      <c r="HE110" s="292"/>
      <c r="HF110" s="292"/>
      <c r="HG110" s="292"/>
      <c r="HH110" s="292"/>
      <c r="HI110" s="292"/>
      <c r="HJ110" s="292"/>
      <c r="HK110" s="292"/>
      <c r="HL110" s="292"/>
      <c r="HM110" s="292"/>
      <c r="HN110" s="292"/>
      <c r="HO110" s="292"/>
      <c r="HP110" s="292"/>
      <c r="HQ110" s="292"/>
      <c r="HR110" s="292"/>
      <c r="HS110" s="292"/>
      <c r="HT110" s="292"/>
      <c r="HU110" s="292"/>
      <c r="HV110" s="292"/>
      <c r="HW110" s="292"/>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2">
    <mergeCell ref="A47:G47"/>
    <mergeCell ref="A48:I48"/>
  </mergeCells>
  <printOptions horizontalCentered="1"/>
  <pageMargins left="0.5" right="0.5" top="0.9" bottom="0.9" header="0.5" footer="0.5"/>
  <pageSetup scale="66"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BC54"/>
  <sheetViews>
    <sheetView zoomScaleNormal="100" workbookViewId="0"/>
  </sheetViews>
  <sheetFormatPr defaultColWidth="12.42578125" defaultRowHeight="12.75"/>
  <cols>
    <col min="1" max="1" width="11.28515625" style="175" customWidth="1"/>
    <col min="2" max="4" width="20.140625" style="175" customWidth="1"/>
    <col min="5" max="5" width="10.5703125" style="175" customWidth="1"/>
    <col min="6" max="6" width="12.42578125" style="175" customWidth="1"/>
    <col min="7" max="8" width="8.85546875" customWidth="1"/>
    <col min="9" max="27" width="12.42578125" style="175" customWidth="1"/>
    <col min="28" max="28" width="24.42578125" style="175" customWidth="1"/>
    <col min="29" max="16384" width="12.42578125" style="175"/>
  </cols>
  <sheetData>
    <row r="1" spans="2:55" ht="18">
      <c r="B1" s="176" t="s">
        <v>379</v>
      </c>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row>
    <row r="2" spans="2:55" ht="15.75">
      <c r="B2" s="13" t="s">
        <v>380</v>
      </c>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row>
    <row r="3" spans="2:55" ht="15.75">
      <c r="B3" s="13"/>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row>
    <row r="4" spans="2:55" ht="16.5" thickBot="1">
      <c r="B4" s="13"/>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row>
    <row r="5" spans="2:55">
      <c r="B5" s="177"/>
      <c r="C5" s="177"/>
      <c r="D5" s="177"/>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row>
    <row r="6" spans="2:55" ht="15.75">
      <c r="B6" s="178" t="s">
        <v>381</v>
      </c>
      <c r="C6" s="179"/>
      <c r="D6" s="180" t="s">
        <v>20</v>
      </c>
      <c r="AB6" s="976"/>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row>
    <row r="7" spans="2:55" ht="15">
      <c r="B7" s="181"/>
      <c r="C7" s="182"/>
      <c r="D7" s="183"/>
      <c r="F7" s="181"/>
      <c r="Z7" s="578"/>
      <c r="AA7" s="823"/>
      <c r="AB7" s="977"/>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row>
    <row r="8" spans="2:55">
      <c r="B8" s="181">
        <v>2006</v>
      </c>
      <c r="D8" s="532">
        <v>9132261251</v>
      </c>
      <c r="Z8" s="578"/>
      <c r="AA8" s="964"/>
      <c r="AB8" s="978"/>
      <c r="AC8" s="388"/>
      <c r="AD8" s="978"/>
      <c r="AE8" s="97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row>
    <row r="9" spans="2:55">
      <c r="B9" s="181">
        <v>2007</v>
      </c>
      <c r="D9" s="185">
        <v>9601762403.6699944</v>
      </c>
      <c r="Z9" s="578"/>
      <c r="AA9" s="964"/>
      <c r="AB9" s="978"/>
      <c r="AC9" s="388"/>
      <c r="AD9" s="978"/>
      <c r="AE9" s="97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row>
    <row r="10" spans="2:55">
      <c r="B10" s="181">
        <v>2008</v>
      </c>
      <c r="D10" s="185">
        <v>9201320075.0499992</v>
      </c>
      <c r="Z10" s="578"/>
      <c r="AA10" s="1274"/>
      <c r="AB10" s="1275"/>
      <c r="AC10" s="388"/>
      <c r="AD10" s="978"/>
      <c r="AE10" s="978"/>
      <c r="AF10" s="388"/>
      <c r="AG10" s="388"/>
      <c r="AH10" s="388"/>
      <c r="AI10" s="388"/>
      <c r="AJ10" s="388"/>
      <c r="AK10" s="388"/>
    </row>
    <row r="11" spans="2:55">
      <c r="B11" s="181">
        <v>2009</v>
      </c>
      <c r="D11" s="184">
        <v>8838405972.0000038</v>
      </c>
      <c r="Z11" s="578"/>
      <c r="AA11" s="1274">
        <v>2006</v>
      </c>
      <c r="AB11" s="1275">
        <v>9.1300000000000008</v>
      </c>
      <c r="AC11" s="388"/>
      <c r="AD11" s="978"/>
      <c r="AE11" s="978"/>
      <c r="AF11" s="388"/>
      <c r="AG11" s="388"/>
      <c r="AH11" s="388"/>
      <c r="AI11" s="388"/>
      <c r="AJ11" s="388"/>
      <c r="AK11" s="388"/>
    </row>
    <row r="12" spans="2:55">
      <c r="B12" s="181">
        <v>2010</v>
      </c>
      <c r="D12" s="184">
        <v>9537700528</v>
      </c>
      <c r="Z12" s="578"/>
      <c r="AA12" s="1274">
        <v>2007</v>
      </c>
      <c r="AB12" s="1275">
        <v>9.6</v>
      </c>
      <c r="AC12" s="388"/>
      <c r="AD12" s="978"/>
      <c r="AE12" s="978"/>
      <c r="AF12" s="388"/>
      <c r="AG12" s="388"/>
      <c r="AH12" s="388"/>
      <c r="AI12" s="388"/>
      <c r="AJ12" s="388"/>
      <c r="AK12" s="388"/>
    </row>
    <row r="13" spans="2:55">
      <c r="B13" s="181">
        <v>2011</v>
      </c>
      <c r="D13" s="184">
        <v>9846787045</v>
      </c>
      <c r="Z13" s="578"/>
      <c r="AA13" s="1274">
        <v>2008</v>
      </c>
      <c r="AB13" s="1275">
        <v>9.1999999999999993</v>
      </c>
      <c r="AC13" s="388"/>
      <c r="AD13" s="978"/>
      <c r="AE13" s="978"/>
      <c r="AF13" s="388"/>
      <c r="AG13" s="388"/>
      <c r="AH13" s="388"/>
      <c r="AI13" s="388"/>
      <c r="AJ13" s="388"/>
      <c r="AK13" s="388"/>
    </row>
    <row r="14" spans="2:55">
      <c r="B14" s="181">
        <v>2012</v>
      </c>
      <c r="D14" s="184">
        <v>10527113882</v>
      </c>
      <c r="Z14" s="578"/>
      <c r="AA14" s="1274">
        <v>2009</v>
      </c>
      <c r="AB14" s="1275">
        <v>8.84</v>
      </c>
      <c r="AC14" s="388"/>
      <c r="AD14" s="978"/>
      <c r="AE14" s="978"/>
      <c r="AF14" s="388"/>
      <c r="AG14" s="388"/>
      <c r="AH14" s="388"/>
      <c r="AI14" s="388"/>
      <c r="AJ14" s="388"/>
      <c r="AK14" s="388"/>
    </row>
    <row r="15" spans="2:55">
      <c r="B15" s="181">
        <v>2013</v>
      </c>
      <c r="D15" s="184">
        <v>10586343685</v>
      </c>
      <c r="Z15" s="578"/>
      <c r="AA15" s="1274">
        <v>2010</v>
      </c>
      <c r="AB15" s="1275">
        <v>9.5399999999999991</v>
      </c>
      <c r="AC15" s="388"/>
      <c r="AD15" s="978"/>
      <c r="AE15" s="978"/>
      <c r="AF15" s="388"/>
      <c r="AG15" s="388"/>
      <c r="AH15" s="388"/>
      <c r="AI15" s="388"/>
      <c r="AJ15" s="388"/>
      <c r="AK15" s="388"/>
    </row>
    <row r="16" spans="2:55">
      <c r="B16" s="181">
        <v>2014</v>
      </c>
      <c r="D16" s="184">
        <v>11623977320</v>
      </c>
      <c r="Z16" s="578"/>
      <c r="AA16" s="1274">
        <v>2011</v>
      </c>
      <c r="AB16" s="1275">
        <v>9.85</v>
      </c>
      <c r="AC16" s="388"/>
      <c r="AD16" s="978"/>
      <c r="AE16" s="978"/>
      <c r="AF16" s="388"/>
      <c r="AG16" s="388"/>
      <c r="AH16" s="388"/>
      <c r="AI16" s="388"/>
      <c r="AJ16" s="388"/>
      <c r="AK16" s="388"/>
    </row>
    <row r="17" spans="2:37">
      <c r="B17" s="181">
        <v>2015</v>
      </c>
      <c r="D17" s="184">
        <v>12071058964</v>
      </c>
      <c r="Z17" s="578"/>
      <c r="AA17" s="1274">
        <v>2012</v>
      </c>
      <c r="AB17" s="1275">
        <v>10.53</v>
      </c>
      <c r="AC17" s="388"/>
      <c r="AD17" s="978"/>
      <c r="AE17" s="978"/>
      <c r="AF17" s="388"/>
      <c r="AG17" s="388"/>
      <c r="AH17" s="388"/>
      <c r="AI17" s="388"/>
      <c r="AJ17" s="388"/>
      <c r="AK17" s="388"/>
    </row>
    <row r="18" spans="2:37">
      <c r="B18" s="181">
        <v>2016</v>
      </c>
      <c r="D18" s="184">
        <v>11800977144.559999</v>
      </c>
      <c r="E18" s="846"/>
      <c r="Z18" s="578"/>
      <c r="AA18" s="1274">
        <v>2013</v>
      </c>
      <c r="AB18" s="1275">
        <v>10.59</v>
      </c>
      <c r="AC18" s="388"/>
      <c r="AD18" s="978"/>
      <c r="AE18" s="978"/>
      <c r="AF18" s="388"/>
      <c r="AG18" s="388"/>
      <c r="AH18" s="388"/>
      <c r="AI18" s="388"/>
      <c r="AJ18" s="388"/>
      <c r="AK18" s="388"/>
    </row>
    <row r="19" spans="2:37">
      <c r="B19" s="181">
        <v>2017</v>
      </c>
      <c r="D19" s="184">
        <v>12342418241.27</v>
      </c>
      <c r="E19" s="1195"/>
      <c r="F19" s="186"/>
      <c r="Z19" s="578"/>
      <c r="AA19" s="1274">
        <v>2014</v>
      </c>
      <c r="AB19" s="1275">
        <v>11.62</v>
      </c>
      <c r="AC19" s="388"/>
      <c r="AD19" s="978"/>
      <c r="AE19" s="978"/>
      <c r="AF19" s="388"/>
      <c r="AG19" s="388"/>
      <c r="AH19" s="388"/>
      <c r="AI19" s="388"/>
      <c r="AJ19" s="388"/>
      <c r="AK19" s="388"/>
    </row>
    <row r="20" spans="2:37">
      <c r="B20" s="181">
        <v>2018</v>
      </c>
      <c r="D20" s="184">
        <v>14112424787.530001</v>
      </c>
      <c r="E20" s="1276">
        <f>D20/D19-1</f>
        <v>0.14340840762805573</v>
      </c>
      <c r="F20" s="186"/>
      <c r="Z20" s="578"/>
      <c r="AA20" s="1274">
        <v>2015</v>
      </c>
      <c r="AB20" s="1275">
        <v>12.071058964000001</v>
      </c>
      <c r="AC20" s="388"/>
      <c r="AD20" s="978"/>
      <c r="AE20" s="978"/>
      <c r="AF20" s="388"/>
      <c r="AG20" s="388"/>
      <c r="AH20" s="388"/>
      <c r="AI20" s="388"/>
      <c r="AJ20" s="388"/>
      <c r="AK20" s="388"/>
    </row>
    <row r="21" spans="2:37">
      <c r="C21" s="187"/>
      <c r="D21" s="1109"/>
      <c r="E21" s="846"/>
      <c r="F21" s="181"/>
      <c r="Z21" s="578"/>
      <c r="AA21" s="1274">
        <v>2016</v>
      </c>
      <c r="AB21" s="1275">
        <v>11.800977144559999</v>
      </c>
      <c r="AC21" s="388"/>
      <c r="AD21" s="978"/>
      <c r="AE21" s="978"/>
      <c r="AF21" s="388"/>
      <c r="AG21" s="388"/>
      <c r="AH21" s="388"/>
      <c r="AI21" s="388"/>
      <c r="AJ21" s="388"/>
      <c r="AK21" s="388"/>
    </row>
    <row r="22" spans="2:37">
      <c r="B22" s="9" t="s">
        <v>19</v>
      </c>
      <c r="C22" s="187"/>
      <c r="F22" s="181"/>
      <c r="Z22" s="578"/>
      <c r="AA22" s="1274">
        <v>2017</v>
      </c>
      <c r="AB22" s="1275">
        <v>12.34241824127</v>
      </c>
      <c r="AC22" s="388"/>
      <c r="AD22" s="978"/>
      <c r="AE22" s="978"/>
      <c r="AF22" s="388"/>
      <c r="AG22" s="388"/>
      <c r="AH22" s="388"/>
      <c r="AI22" s="388"/>
      <c r="AJ22" s="388"/>
      <c r="AK22" s="388"/>
    </row>
    <row r="23" spans="2:37">
      <c r="B23" s="899" t="s">
        <v>998</v>
      </c>
      <c r="C23" s="187"/>
      <c r="F23" s="181"/>
      <c r="Z23" s="578"/>
      <c r="AA23" s="1274">
        <f>B20</f>
        <v>2018</v>
      </c>
      <c r="AB23" s="1275">
        <f>D20/1000000000</f>
        <v>14.112424787530001</v>
      </c>
      <c r="AC23" s="388"/>
      <c r="AD23" s="978"/>
      <c r="AE23" s="564"/>
      <c r="AF23" s="388"/>
      <c r="AG23" s="388"/>
      <c r="AH23" s="388"/>
      <c r="AI23" s="388"/>
      <c r="AJ23" s="388"/>
      <c r="AK23" s="388"/>
    </row>
    <row r="24" spans="2:37">
      <c r="B24" s="9"/>
      <c r="C24" s="187"/>
      <c r="F24" s="181"/>
      <c r="AA24" s="1194"/>
      <c r="AB24" s="846"/>
      <c r="AC24" s="388"/>
      <c r="AD24" s="388"/>
      <c r="AE24" s="388"/>
      <c r="AF24" s="388"/>
      <c r="AG24" s="388"/>
      <c r="AH24" s="388"/>
      <c r="AI24" s="388"/>
      <c r="AJ24" s="388"/>
      <c r="AK24" s="388"/>
    </row>
    <row r="25" spans="2:37">
      <c r="B25" s="9"/>
      <c r="C25" s="187"/>
      <c r="F25" s="181"/>
      <c r="AA25" s="978"/>
      <c r="AB25" s="388"/>
      <c r="AC25" s="388"/>
      <c r="AD25" s="388"/>
      <c r="AE25" s="388"/>
      <c r="AF25" s="388"/>
      <c r="AG25" s="388"/>
      <c r="AH25" s="388"/>
      <c r="AI25" s="388"/>
      <c r="AJ25" s="388"/>
      <c r="AK25" s="388"/>
    </row>
    <row r="26" spans="2:37">
      <c r="B26" s="181"/>
      <c r="C26" s="188"/>
      <c r="F26" s="181"/>
      <c r="AA26" s="978"/>
      <c r="AB26" s="388"/>
      <c r="AC26" s="388"/>
      <c r="AD26" s="388"/>
      <c r="AE26" s="388"/>
      <c r="AF26" s="388"/>
      <c r="AG26" s="388"/>
      <c r="AH26" s="388"/>
      <c r="AI26" s="388"/>
      <c r="AJ26" s="388"/>
      <c r="AK26" s="388"/>
    </row>
    <row r="27" spans="2:37">
      <c r="B27" s="181"/>
      <c r="C27" s="188"/>
      <c r="AA27" s="388"/>
      <c r="AB27" s="388"/>
      <c r="AC27" s="388"/>
      <c r="AD27" s="388"/>
      <c r="AE27" s="388"/>
      <c r="AF27" s="388"/>
      <c r="AG27" s="388"/>
      <c r="AH27" s="388"/>
      <c r="AI27" s="388"/>
      <c r="AJ27" s="388"/>
      <c r="AK27" s="388"/>
    </row>
    <row r="28" spans="2:37">
      <c r="B28" s="181"/>
      <c r="C28" s="188"/>
      <c r="AA28" s="388"/>
      <c r="AB28" s="388"/>
      <c r="AC28" s="388"/>
      <c r="AD28" s="388"/>
      <c r="AE28" s="388"/>
      <c r="AF28" s="388"/>
      <c r="AG28" s="388"/>
      <c r="AH28" s="388"/>
      <c r="AI28" s="388"/>
      <c r="AJ28" s="388"/>
      <c r="AK28" s="388"/>
    </row>
    <row r="29" spans="2:37">
      <c r="B29" s="181"/>
      <c r="C29" s="188"/>
      <c r="AA29" s="388"/>
      <c r="AB29" s="388"/>
      <c r="AC29" s="388"/>
      <c r="AD29" s="388"/>
      <c r="AE29" s="388"/>
      <c r="AF29" s="388"/>
      <c r="AG29" s="388"/>
      <c r="AH29" s="388"/>
      <c r="AI29" s="388"/>
      <c r="AJ29" s="388"/>
      <c r="AK29" s="388"/>
    </row>
    <row r="30" spans="2:37">
      <c r="B30" s="181"/>
      <c r="C30" s="188"/>
      <c r="AA30" s="388"/>
      <c r="AB30" s="388"/>
      <c r="AC30" s="388"/>
      <c r="AD30" s="388"/>
      <c r="AE30" s="388"/>
      <c r="AF30" s="388"/>
      <c r="AG30" s="388"/>
      <c r="AH30" s="388"/>
      <c r="AI30" s="388"/>
      <c r="AJ30" s="388"/>
      <c r="AK30" s="388"/>
    </row>
    <row r="31" spans="2:37">
      <c r="B31" s="181"/>
      <c r="C31" s="188"/>
      <c r="AA31" s="388"/>
      <c r="AB31" s="388"/>
      <c r="AC31" s="388"/>
      <c r="AD31" s="388"/>
      <c r="AE31" s="388"/>
      <c r="AF31" s="388"/>
      <c r="AG31" s="388"/>
      <c r="AH31" s="388"/>
      <c r="AI31" s="388"/>
      <c r="AJ31" s="388"/>
      <c r="AK31" s="388"/>
    </row>
    <row r="32" spans="2:37">
      <c r="B32" s="181"/>
      <c r="C32" s="188"/>
      <c r="AA32" s="388"/>
      <c r="AB32" s="388"/>
      <c r="AC32" s="388"/>
      <c r="AD32" s="388"/>
      <c r="AE32" s="388"/>
      <c r="AF32" s="388"/>
      <c r="AG32" s="388"/>
      <c r="AH32" s="388"/>
      <c r="AI32" s="388"/>
      <c r="AJ32" s="388"/>
      <c r="AK32" s="388"/>
    </row>
    <row r="33" spans="2:37">
      <c r="B33" s="181"/>
      <c r="C33" s="188"/>
      <c r="AA33" s="388"/>
      <c r="AB33" s="388"/>
      <c r="AC33" s="388"/>
      <c r="AD33" s="388"/>
      <c r="AE33" s="388"/>
      <c r="AF33" s="388"/>
      <c r="AG33" s="388"/>
      <c r="AH33" s="388"/>
      <c r="AI33" s="388"/>
      <c r="AJ33" s="388"/>
      <c r="AK33" s="388"/>
    </row>
    <row r="34" spans="2:37">
      <c r="B34" s="181"/>
      <c r="C34" s="188"/>
      <c r="AA34" s="388"/>
      <c r="AB34" s="388"/>
      <c r="AC34" s="388"/>
      <c r="AD34" s="388"/>
      <c r="AE34" s="388"/>
      <c r="AF34" s="388"/>
      <c r="AG34" s="388"/>
      <c r="AH34" s="388"/>
      <c r="AI34" s="388"/>
      <c r="AJ34" s="388"/>
      <c r="AK34" s="388"/>
    </row>
    <row r="35" spans="2:37">
      <c r="B35" s="181"/>
      <c r="C35" s="188"/>
      <c r="AA35" s="388"/>
      <c r="AB35" s="388"/>
      <c r="AC35" s="388"/>
      <c r="AD35" s="388"/>
      <c r="AE35" s="388"/>
      <c r="AF35" s="388"/>
      <c r="AG35" s="388"/>
      <c r="AH35" s="388"/>
      <c r="AI35" s="388"/>
      <c r="AJ35" s="388"/>
      <c r="AK35" s="388"/>
    </row>
    <row r="36" spans="2:37">
      <c r="B36" s="181"/>
      <c r="C36" s="188"/>
    </row>
    <row r="37" spans="2:37">
      <c r="B37" s="181"/>
      <c r="C37" s="188"/>
    </row>
    <row r="38" spans="2:37">
      <c r="B38" s="181"/>
      <c r="C38" s="188"/>
    </row>
    <row r="39" spans="2:37">
      <c r="E39" s="189"/>
    </row>
    <row r="52" spans="2:5" ht="15.75">
      <c r="B52" s="10"/>
      <c r="C52" s="10"/>
    </row>
    <row r="53" spans="2:5" ht="15.75">
      <c r="B53" s="5"/>
      <c r="C53" s="5"/>
      <c r="D53" s="5"/>
      <c r="E53" s="39"/>
    </row>
    <row r="54" spans="2:5" ht="15.75">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49"/>
  <sheetViews>
    <sheetView zoomScaleNormal="100" workbookViewId="0"/>
  </sheetViews>
  <sheetFormatPr defaultColWidth="9.140625" defaultRowHeight="12.75"/>
  <cols>
    <col min="1" max="1" width="12.7109375" style="581" customWidth="1"/>
    <col min="2" max="2" width="9.7109375" style="581" customWidth="1"/>
    <col min="3" max="3" width="9.5703125" style="581" customWidth="1"/>
    <col min="4" max="4" width="22" style="581" bestFit="1" customWidth="1"/>
    <col min="5" max="5" width="16.7109375" style="581" customWidth="1"/>
    <col min="6" max="6" width="20.85546875" style="581" bestFit="1" customWidth="1"/>
    <col min="7" max="7" width="16.42578125" style="581" customWidth="1"/>
    <col min="8" max="8" width="18.28515625" style="581" customWidth="1"/>
    <col min="9" max="9" width="20" style="581" customWidth="1"/>
    <col min="10" max="10" width="17.5703125" style="581" customWidth="1"/>
    <col min="11" max="11" width="13.42578125" style="581" customWidth="1"/>
    <col min="12" max="16384" width="9.140625" style="581"/>
  </cols>
  <sheetData>
    <row r="1" spans="1:12" ht="18">
      <c r="A1" s="579" t="s">
        <v>405</v>
      </c>
      <c r="B1" s="579"/>
      <c r="C1" s="579"/>
      <c r="D1" s="580"/>
      <c r="E1" s="333"/>
      <c r="F1" s="580"/>
      <c r="G1" s="580"/>
      <c r="H1" s="580"/>
      <c r="I1" s="580"/>
      <c r="J1" s="334"/>
      <c r="K1" s="580"/>
      <c r="L1" s="580"/>
    </row>
    <row r="2" spans="1:12" ht="15.75">
      <c r="A2" s="1317" t="s">
        <v>954</v>
      </c>
      <c r="B2" s="1317"/>
      <c r="C2" s="1317"/>
      <c r="D2" s="1317"/>
      <c r="E2" s="1317"/>
      <c r="F2" s="1317"/>
      <c r="G2" s="1317"/>
      <c r="H2" s="1317"/>
      <c r="I2" s="1317"/>
      <c r="J2" s="1317"/>
      <c r="K2" s="1317"/>
      <c r="L2" s="1317"/>
    </row>
    <row r="3" spans="1:12" ht="15" customHeight="1" thickBot="1">
      <c r="A3" s="1213" t="s">
        <v>1153</v>
      </c>
      <c r="B3" s="1213"/>
      <c r="C3" s="1213"/>
      <c r="D3" s="580"/>
      <c r="E3" s="333"/>
      <c r="F3" s="580"/>
      <c r="G3" s="580"/>
      <c r="H3" s="580"/>
      <c r="I3" s="580"/>
      <c r="J3" s="334"/>
      <c r="K3" s="580"/>
      <c r="L3" s="580"/>
    </row>
    <row r="4" spans="1:12" ht="15" customHeight="1">
      <c r="A4" s="583"/>
      <c r="B4" s="583"/>
      <c r="C4" s="583"/>
      <c r="D4" s="583"/>
      <c r="E4" s="584"/>
      <c r="F4" s="585" t="s">
        <v>406</v>
      </c>
      <c r="G4" s="585" t="s">
        <v>407</v>
      </c>
      <c r="H4" s="585" t="s">
        <v>17</v>
      </c>
      <c r="I4" s="584"/>
      <c r="J4" s="584"/>
      <c r="K4" s="585" t="s">
        <v>408</v>
      </c>
    </row>
    <row r="5" spans="1:12" ht="15.75">
      <c r="B5" s="586" t="s">
        <v>384</v>
      </c>
      <c r="C5" s="587"/>
      <c r="D5" s="586" t="s">
        <v>409</v>
      </c>
      <c r="E5" s="586" t="s">
        <v>410</v>
      </c>
      <c r="F5" s="588" t="s">
        <v>411</v>
      </c>
      <c r="G5" s="588" t="s">
        <v>412</v>
      </c>
      <c r="H5" s="588" t="s">
        <v>411</v>
      </c>
      <c r="I5" s="588" t="s">
        <v>413</v>
      </c>
      <c r="J5" s="588" t="s">
        <v>414</v>
      </c>
      <c r="K5" s="588" t="s">
        <v>21</v>
      </c>
    </row>
    <row r="6" spans="1:12" s="592" customFormat="1" ht="15.75">
      <c r="A6" s="589"/>
      <c r="B6" s="590" t="s">
        <v>387</v>
      </c>
      <c r="C6" s="591"/>
      <c r="D6" s="590" t="s">
        <v>415</v>
      </c>
      <c r="E6" s="590" t="s">
        <v>416</v>
      </c>
      <c r="F6" s="590" t="s">
        <v>416</v>
      </c>
      <c r="G6" s="590" t="s">
        <v>416</v>
      </c>
      <c r="H6" s="590" t="s">
        <v>416</v>
      </c>
      <c r="I6" s="590" t="s">
        <v>22</v>
      </c>
      <c r="J6" s="590" t="s">
        <v>417</v>
      </c>
      <c r="K6" s="590" t="s">
        <v>418</v>
      </c>
    </row>
    <row r="7" spans="1:12">
      <c r="A7" s="190"/>
      <c r="B7" s="190"/>
      <c r="C7" s="190"/>
      <c r="D7" s="190"/>
      <c r="E7" s="190"/>
      <c r="F7" s="190"/>
      <c r="G7" s="190"/>
      <c r="H7" s="190"/>
      <c r="I7" s="190"/>
      <c r="J7" s="190"/>
      <c r="K7" s="190"/>
    </row>
    <row r="8" spans="1:12" ht="15" customHeight="1">
      <c r="A8" s="335">
        <v>0</v>
      </c>
      <c r="B8" s="334" t="s">
        <v>396</v>
      </c>
      <c r="C8" s="336">
        <v>999</v>
      </c>
      <c r="D8" s="332">
        <v>23425185.738159999</v>
      </c>
      <c r="E8" s="332">
        <v>266898850.71000001</v>
      </c>
      <c r="F8" s="332">
        <v>9498304656.3600006</v>
      </c>
      <c r="G8" s="332">
        <v>362293403.81</v>
      </c>
      <c r="H8" s="332">
        <v>9860598060.1700001</v>
      </c>
      <c r="I8" s="332">
        <v>5836767.2800000003</v>
      </c>
      <c r="J8" s="332">
        <v>137478.34</v>
      </c>
      <c r="K8" s="447">
        <f>J8/I8</f>
        <v>2.3553849829010143E-2</v>
      </c>
    </row>
    <row r="9" spans="1:12" ht="15" customHeight="1">
      <c r="A9" s="335">
        <v>1000</v>
      </c>
      <c r="B9" s="334" t="s">
        <v>396</v>
      </c>
      <c r="C9" s="336">
        <v>1999</v>
      </c>
      <c r="D9" s="331">
        <v>81392696.469000101</v>
      </c>
      <c r="E9" s="331">
        <v>69091424.769999996</v>
      </c>
      <c r="F9" s="331">
        <v>122768470</v>
      </c>
      <c r="G9" s="331">
        <v>123398490.8</v>
      </c>
      <c r="H9" s="331">
        <v>246166960.80000001</v>
      </c>
      <c r="I9" s="331">
        <v>12650633.32</v>
      </c>
      <c r="J9" s="331">
        <v>253132.16</v>
      </c>
      <c r="K9" s="447">
        <f t="shared" ref="K9:K31" si="0">J9/I9</f>
        <v>2.000944566149199E-2</v>
      </c>
    </row>
    <row r="10" spans="1:12" ht="15" customHeight="1">
      <c r="A10" s="335">
        <v>2000</v>
      </c>
      <c r="B10" s="334" t="s">
        <v>396</v>
      </c>
      <c r="C10" s="336">
        <v>2999</v>
      </c>
      <c r="D10" s="331">
        <v>139760896.05772999</v>
      </c>
      <c r="E10" s="331">
        <v>69607873.140000001</v>
      </c>
      <c r="F10" s="331">
        <v>114321660.02</v>
      </c>
      <c r="G10" s="331">
        <v>147477057.80000001</v>
      </c>
      <c r="H10" s="331">
        <v>261798717.81999999</v>
      </c>
      <c r="I10" s="331">
        <v>17044361.210000001</v>
      </c>
      <c r="J10" s="331">
        <v>340913.79</v>
      </c>
      <c r="K10" s="447">
        <f t="shared" si="0"/>
        <v>2.0001558626907317E-2</v>
      </c>
    </row>
    <row r="11" spans="1:12" ht="15" customHeight="1">
      <c r="A11" s="335">
        <v>3000</v>
      </c>
      <c r="B11" s="334" t="s">
        <v>396</v>
      </c>
      <c r="C11" s="336">
        <v>3999</v>
      </c>
      <c r="D11" s="331">
        <v>195673404.4921</v>
      </c>
      <c r="E11" s="331">
        <v>69494376.900000006</v>
      </c>
      <c r="F11" s="331">
        <v>101825308.02</v>
      </c>
      <c r="G11" s="331">
        <v>158187754.90000001</v>
      </c>
      <c r="H11" s="331">
        <v>260013062.91999999</v>
      </c>
      <c r="I11" s="331">
        <v>19851865.940000001</v>
      </c>
      <c r="J11" s="331">
        <v>410170.58</v>
      </c>
      <c r="K11" s="447">
        <f t="shared" si="0"/>
        <v>2.0661563061109407E-2</v>
      </c>
    </row>
    <row r="12" spans="1:12" ht="15" customHeight="1">
      <c r="A12" s="335">
        <v>4000</v>
      </c>
      <c r="B12" s="334" t="s">
        <v>396</v>
      </c>
      <c r="C12" s="336">
        <v>4999</v>
      </c>
      <c r="D12" s="331">
        <v>245918156.9589</v>
      </c>
      <c r="E12" s="331">
        <v>69063448.209999993</v>
      </c>
      <c r="F12" s="331">
        <v>100036924.01000001</v>
      </c>
      <c r="G12" s="331">
        <v>157069638.19999999</v>
      </c>
      <c r="H12" s="331">
        <v>257106562.21000001</v>
      </c>
      <c r="I12" s="331">
        <v>23054323.039999999</v>
      </c>
      <c r="J12" s="331">
        <v>529376.54</v>
      </c>
      <c r="K12" s="447">
        <f t="shared" si="0"/>
        <v>2.2962137690250742E-2</v>
      </c>
    </row>
    <row r="13" spans="1:12" ht="15" customHeight="1">
      <c r="A13" s="335">
        <v>5000</v>
      </c>
      <c r="B13" s="334" t="s">
        <v>396</v>
      </c>
      <c r="C13" s="336">
        <v>5999</v>
      </c>
      <c r="D13" s="331">
        <v>293391710.43783998</v>
      </c>
      <c r="E13" s="331">
        <v>68234846.609999999</v>
      </c>
      <c r="F13" s="331">
        <v>83825922.060000002</v>
      </c>
      <c r="G13" s="331">
        <v>155281212.30000001</v>
      </c>
      <c r="H13" s="331">
        <v>239107134.36000001</v>
      </c>
      <c r="I13" s="331">
        <v>23503616.899999999</v>
      </c>
      <c r="J13" s="331">
        <v>571812.15</v>
      </c>
      <c r="K13" s="447">
        <f t="shared" si="0"/>
        <v>2.4328687471075996E-2</v>
      </c>
    </row>
    <row r="14" spans="1:12" ht="15" customHeight="1">
      <c r="A14" s="335">
        <v>6000</v>
      </c>
      <c r="B14" s="334" t="s">
        <v>396</v>
      </c>
      <c r="C14" s="336">
        <v>6999</v>
      </c>
      <c r="D14" s="331">
        <v>339031206.07499999</v>
      </c>
      <c r="E14" s="331">
        <v>68246106.180000007</v>
      </c>
      <c r="F14" s="331">
        <v>98903402.019999996</v>
      </c>
      <c r="G14" s="331">
        <v>153445151.5</v>
      </c>
      <c r="H14" s="331">
        <v>252348553.52000001</v>
      </c>
      <c r="I14" s="331">
        <v>24266379.300000001</v>
      </c>
      <c r="J14" s="331">
        <v>663447.06999999995</v>
      </c>
      <c r="K14" s="447">
        <f t="shared" si="0"/>
        <v>2.7340175548974457E-2</v>
      </c>
    </row>
    <row r="15" spans="1:12" ht="15" customHeight="1">
      <c r="A15" s="335">
        <v>7000</v>
      </c>
      <c r="B15" s="334" t="s">
        <v>396</v>
      </c>
      <c r="C15" s="336">
        <v>7999</v>
      </c>
      <c r="D15" s="331">
        <v>383192690.96029902</v>
      </c>
      <c r="E15" s="331">
        <v>68122937.209999993</v>
      </c>
      <c r="F15" s="331">
        <v>76068057.019999996</v>
      </c>
      <c r="G15" s="331">
        <v>151370452.69999999</v>
      </c>
      <c r="H15" s="331">
        <v>227438509.72</v>
      </c>
      <c r="I15" s="331">
        <v>25995571.559999999</v>
      </c>
      <c r="J15" s="331">
        <v>781200.15</v>
      </c>
      <c r="K15" s="447">
        <f>J15/I15</f>
        <v>3.0051278087766732E-2</v>
      </c>
    </row>
    <row r="16" spans="1:12" ht="15" customHeight="1">
      <c r="A16" s="335">
        <v>8000</v>
      </c>
      <c r="B16" s="334" t="s">
        <v>396</v>
      </c>
      <c r="C16" s="336">
        <v>8999</v>
      </c>
      <c r="D16" s="331">
        <v>425339985.51999998</v>
      </c>
      <c r="E16" s="331">
        <v>68754275.659999996</v>
      </c>
      <c r="F16" s="331">
        <v>77378754.040000007</v>
      </c>
      <c r="G16" s="331">
        <v>149968240.40000001</v>
      </c>
      <c r="H16" s="331">
        <v>227346994.44</v>
      </c>
      <c r="I16" s="331">
        <v>26208226.969999999</v>
      </c>
      <c r="J16" s="331">
        <v>848115.76</v>
      </c>
      <c r="K16" s="447">
        <f t="shared" si="0"/>
        <v>3.2360669074288015E-2</v>
      </c>
    </row>
    <row r="17" spans="1:11" ht="15" customHeight="1">
      <c r="A17" s="335">
        <v>9000</v>
      </c>
      <c r="B17" s="334" t="s">
        <v>396</v>
      </c>
      <c r="C17" s="336">
        <v>9999</v>
      </c>
      <c r="D17" s="331">
        <v>478744458.71610999</v>
      </c>
      <c r="E17" s="331">
        <v>71173423.540000007</v>
      </c>
      <c r="F17" s="331">
        <v>68568886</v>
      </c>
      <c r="G17" s="331">
        <v>152168525.09999999</v>
      </c>
      <c r="H17" s="331">
        <v>220737411.09999999</v>
      </c>
      <c r="I17" s="331">
        <v>28027878.710000001</v>
      </c>
      <c r="J17" s="331">
        <v>959221.67</v>
      </c>
      <c r="K17" s="447">
        <f t="shared" si="0"/>
        <v>3.4223841194865795E-2</v>
      </c>
    </row>
    <row r="18" spans="1:11" ht="15" customHeight="1">
      <c r="A18" s="335">
        <v>10000</v>
      </c>
      <c r="B18" s="334" t="s">
        <v>396</v>
      </c>
      <c r="C18" s="336">
        <v>10999</v>
      </c>
      <c r="D18" s="331">
        <v>553740587.495</v>
      </c>
      <c r="E18" s="331">
        <v>77127888.739999995</v>
      </c>
      <c r="F18" s="331">
        <v>87314123</v>
      </c>
      <c r="G18" s="331">
        <v>161318230.30000001</v>
      </c>
      <c r="H18" s="331">
        <v>248632353.30000001</v>
      </c>
      <c r="I18" s="331">
        <v>27265190.170000002</v>
      </c>
      <c r="J18" s="331">
        <v>971469.75</v>
      </c>
      <c r="K18" s="447">
        <f t="shared" si="0"/>
        <v>3.5630404333981576E-2</v>
      </c>
    </row>
    <row r="19" spans="1:11" ht="15" customHeight="1">
      <c r="A19" s="335">
        <v>11000</v>
      </c>
      <c r="B19" s="334" t="s">
        <v>396</v>
      </c>
      <c r="C19" s="336">
        <v>11999</v>
      </c>
      <c r="D19" s="331">
        <v>606355184.51719999</v>
      </c>
      <c r="E19" s="483">
        <v>78756079.109999999</v>
      </c>
      <c r="F19" s="483">
        <v>72106765.019999996</v>
      </c>
      <c r="G19" s="483">
        <v>163164972.19999999</v>
      </c>
      <c r="H19" s="483">
        <v>235271737.22</v>
      </c>
      <c r="I19" s="483">
        <v>43430846.579999998</v>
      </c>
      <c r="J19" s="483">
        <v>1545709.44</v>
      </c>
      <c r="K19" s="447">
        <f t="shared" si="0"/>
        <v>3.5590129175879399E-2</v>
      </c>
    </row>
    <row r="20" spans="1:11" ht="15" customHeight="1">
      <c r="A20" s="335">
        <v>12000</v>
      </c>
      <c r="B20" s="334" t="s">
        <v>396</v>
      </c>
      <c r="C20" s="336">
        <v>12999</v>
      </c>
      <c r="D20" s="331">
        <v>639255955.70299995</v>
      </c>
      <c r="E20" s="331">
        <v>78193845.870000005</v>
      </c>
      <c r="F20" s="331">
        <v>69410237</v>
      </c>
      <c r="G20" s="331">
        <v>158795850.09999999</v>
      </c>
      <c r="H20" s="331">
        <v>228206087.09999999</v>
      </c>
      <c r="I20" s="331">
        <v>335907572.42000002</v>
      </c>
      <c r="J20" s="331">
        <v>11639789.939999999</v>
      </c>
      <c r="K20" s="447">
        <f t="shared" si="0"/>
        <v>3.4651764043730035E-2</v>
      </c>
    </row>
    <row r="21" spans="1:11" ht="15" customHeight="1">
      <c r="A21" s="335">
        <v>13000</v>
      </c>
      <c r="B21" s="334" t="s">
        <v>396</v>
      </c>
      <c r="C21" s="336">
        <v>13999</v>
      </c>
      <c r="D21" s="331">
        <v>667911628.37027001</v>
      </c>
      <c r="E21" s="331">
        <v>77770231.879999995</v>
      </c>
      <c r="F21" s="331">
        <v>78094917</v>
      </c>
      <c r="G21" s="331">
        <v>154253575.19999999</v>
      </c>
      <c r="H21" s="331">
        <v>232348492.19999999</v>
      </c>
      <c r="I21" s="331">
        <v>355521049.69</v>
      </c>
      <c r="J21" s="331">
        <v>12868631.51</v>
      </c>
      <c r="K21" s="447">
        <f t="shared" si="0"/>
        <v>3.6196538914421317E-2</v>
      </c>
    </row>
    <row r="22" spans="1:11" ht="15" customHeight="1">
      <c r="A22" s="335">
        <v>14000</v>
      </c>
      <c r="B22" s="334" t="s">
        <v>396</v>
      </c>
      <c r="C22" s="336">
        <v>14999</v>
      </c>
      <c r="D22" s="331">
        <v>748963683.18149996</v>
      </c>
      <c r="E22" s="331">
        <v>88223941.390000001</v>
      </c>
      <c r="F22" s="331">
        <v>89822786.010000005</v>
      </c>
      <c r="G22" s="331">
        <v>162688737.30000001</v>
      </c>
      <c r="H22" s="331">
        <v>252511523.31</v>
      </c>
      <c r="I22" s="331">
        <v>402104405.06999999</v>
      </c>
      <c r="J22" s="331">
        <v>14993485.109999999</v>
      </c>
      <c r="K22" s="447">
        <f t="shared" si="0"/>
        <v>3.7287542541071819E-2</v>
      </c>
    </row>
    <row r="23" spans="1:11" ht="15" customHeight="1">
      <c r="A23" s="335">
        <v>15000</v>
      </c>
      <c r="B23" s="334" t="s">
        <v>396</v>
      </c>
      <c r="C23" s="336">
        <v>19999</v>
      </c>
      <c r="D23" s="331">
        <v>4224246486.7417102</v>
      </c>
      <c r="E23" s="331">
        <v>408392281.55000001</v>
      </c>
      <c r="F23" s="331">
        <v>785082259.15999997</v>
      </c>
      <c r="G23" s="331">
        <v>773842113.29999995</v>
      </c>
      <c r="H23" s="331">
        <v>1558924372.46</v>
      </c>
      <c r="I23" s="331">
        <v>2353894455.7600002</v>
      </c>
      <c r="J23" s="331">
        <v>94443814.790000096</v>
      </c>
      <c r="K23" s="447">
        <f>J23/I23</f>
        <v>4.012236596203167E-2</v>
      </c>
    </row>
    <row r="24" spans="1:11" ht="15" customHeight="1">
      <c r="A24" s="335">
        <v>20000</v>
      </c>
      <c r="B24" s="334" t="s">
        <v>396</v>
      </c>
      <c r="C24" s="336">
        <v>24999</v>
      </c>
      <c r="D24" s="331">
        <v>5175175070.20158</v>
      </c>
      <c r="E24" s="331">
        <v>400716600.81</v>
      </c>
      <c r="F24" s="331">
        <v>362711620.02999997</v>
      </c>
      <c r="G24" s="331">
        <v>757882343.79999995</v>
      </c>
      <c r="H24" s="331">
        <v>1120593963.8299999</v>
      </c>
      <c r="I24" s="331">
        <v>3068600437.5900002</v>
      </c>
      <c r="J24" s="331">
        <v>132402920.94</v>
      </c>
      <c r="K24" s="447">
        <f t="shared" si="0"/>
        <v>4.3147657582942221E-2</v>
      </c>
    </row>
    <row r="25" spans="1:11" ht="15" customHeight="1">
      <c r="A25" s="335">
        <v>25000</v>
      </c>
      <c r="B25" s="334" t="s">
        <v>396</v>
      </c>
      <c r="C25" s="336">
        <v>29999</v>
      </c>
      <c r="D25" s="331">
        <v>5949979222.5257902</v>
      </c>
      <c r="E25" s="331">
        <v>385241109.52999997</v>
      </c>
      <c r="F25" s="331">
        <v>411204016</v>
      </c>
      <c r="G25" s="331">
        <v>717718783.29999995</v>
      </c>
      <c r="H25" s="331">
        <v>1128922799.3</v>
      </c>
      <c r="I25" s="331">
        <v>4103712236.1599998</v>
      </c>
      <c r="J25" s="331">
        <v>185856322.16999999</v>
      </c>
      <c r="K25" s="447">
        <f>J25/I25</f>
        <v>4.5289803834762263E-2</v>
      </c>
    </row>
    <row r="26" spans="1:11" ht="15" customHeight="1">
      <c r="A26" s="335">
        <v>30000</v>
      </c>
      <c r="B26" s="334" t="s">
        <v>396</v>
      </c>
      <c r="C26" s="336">
        <v>34999</v>
      </c>
      <c r="D26" s="331">
        <v>6487082672.5057802</v>
      </c>
      <c r="E26" s="331">
        <v>362312337.94999999</v>
      </c>
      <c r="F26" s="331">
        <v>448213938.01999998</v>
      </c>
      <c r="G26" s="331">
        <v>669892832.29999995</v>
      </c>
      <c r="H26" s="331">
        <v>1118106770.3199999</v>
      </c>
      <c r="I26" s="331">
        <v>4623466424.9799995</v>
      </c>
      <c r="J26" s="331">
        <v>218223686.13999999</v>
      </c>
      <c r="K26" s="447">
        <f t="shared" si="0"/>
        <v>4.7199150178957767E-2</v>
      </c>
    </row>
    <row r="27" spans="1:11" ht="15" customHeight="1">
      <c r="A27" s="335">
        <v>35000</v>
      </c>
      <c r="B27" s="334" t="s">
        <v>396</v>
      </c>
      <c r="C27" s="336">
        <v>39999</v>
      </c>
      <c r="D27" s="331">
        <v>6679314826.5500898</v>
      </c>
      <c r="E27" s="331">
        <v>328019291.86000001</v>
      </c>
      <c r="F27" s="331">
        <v>493638275</v>
      </c>
      <c r="G27" s="331">
        <v>603921416.60000002</v>
      </c>
      <c r="H27" s="331">
        <v>1097559691.5999999</v>
      </c>
      <c r="I27" s="331">
        <v>4901389648.46</v>
      </c>
      <c r="J27" s="331">
        <v>237682675.66</v>
      </c>
      <c r="K27" s="447">
        <f t="shared" si="0"/>
        <v>4.8492915827387663E-2</v>
      </c>
    </row>
    <row r="28" spans="1:11" ht="15" customHeight="1">
      <c r="A28" s="335">
        <v>40000</v>
      </c>
      <c r="B28" s="334" t="s">
        <v>396</v>
      </c>
      <c r="C28" s="336">
        <v>44999</v>
      </c>
      <c r="D28" s="331">
        <v>6759906302.7061996</v>
      </c>
      <c r="E28" s="331">
        <v>295435312.13</v>
      </c>
      <c r="F28" s="331">
        <v>513320949.00999999</v>
      </c>
      <c r="G28" s="331">
        <v>543017085.39999998</v>
      </c>
      <c r="H28" s="331">
        <v>1056338034.41</v>
      </c>
      <c r="I28" s="331">
        <v>5058589378.6000004</v>
      </c>
      <c r="J28" s="331">
        <v>250331084.83000001</v>
      </c>
      <c r="K28" s="447">
        <f t="shared" si="0"/>
        <v>4.9486342158746414E-2</v>
      </c>
    </row>
    <row r="29" spans="1:11" ht="15" customHeight="1">
      <c r="A29" s="335">
        <v>45000</v>
      </c>
      <c r="B29" s="334" t="s">
        <v>396</v>
      </c>
      <c r="C29" s="336">
        <v>49999</v>
      </c>
      <c r="D29" s="331">
        <v>6829052316.6210003</v>
      </c>
      <c r="E29" s="331">
        <v>270883060.08999997</v>
      </c>
      <c r="F29" s="331">
        <v>448295401</v>
      </c>
      <c r="G29" s="331">
        <v>494791936.19999999</v>
      </c>
      <c r="H29" s="331">
        <v>943087337.20000005</v>
      </c>
      <c r="I29" s="331">
        <v>5233832824.3699999</v>
      </c>
      <c r="J29" s="331">
        <v>262342114.94</v>
      </c>
      <c r="K29" s="447">
        <f t="shared" si="0"/>
        <v>5.0124282479652622E-2</v>
      </c>
    </row>
    <row r="30" spans="1:11" ht="15" customHeight="1">
      <c r="A30" s="335">
        <v>50000</v>
      </c>
      <c r="B30" s="334" t="s">
        <v>396</v>
      </c>
      <c r="C30" s="336">
        <v>74999</v>
      </c>
      <c r="D30" s="331">
        <v>32214877258.351601</v>
      </c>
      <c r="E30" s="331">
        <v>1055444716.95</v>
      </c>
      <c r="F30" s="331">
        <v>2344104020.0300002</v>
      </c>
      <c r="G30" s="331">
        <v>1850618358.8</v>
      </c>
      <c r="H30" s="331">
        <v>4194722378.8299999</v>
      </c>
      <c r="I30" s="331">
        <v>26022996105.52</v>
      </c>
      <c r="J30" s="331">
        <v>1335924143.97</v>
      </c>
      <c r="K30" s="447">
        <f t="shared" si="0"/>
        <v>5.1336292660268415E-2</v>
      </c>
    </row>
    <row r="31" spans="1:11">
      <c r="A31" s="335">
        <v>75000</v>
      </c>
      <c r="B31" s="334" t="s">
        <v>396</v>
      </c>
      <c r="C31" s="336">
        <v>99999</v>
      </c>
      <c r="D31" s="331">
        <v>29902889949.516998</v>
      </c>
      <c r="E31" s="331">
        <v>783957253.34000003</v>
      </c>
      <c r="F31" s="331">
        <v>2178666461.1999998</v>
      </c>
      <c r="G31" s="331">
        <v>1266808696</v>
      </c>
      <c r="H31" s="331">
        <v>3445475157.1999998</v>
      </c>
      <c r="I31" s="331">
        <v>25410568085.02</v>
      </c>
      <c r="J31" s="331">
        <v>1338349979.26</v>
      </c>
      <c r="K31" s="447">
        <f t="shared" si="0"/>
        <v>5.266903025473807E-2</v>
      </c>
    </row>
    <row r="32" spans="1:11">
      <c r="A32" s="335">
        <v>100000</v>
      </c>
      <c r="B32" s="334" t="s">
        <v>394</v>
      </c>
      <c r="C32" s="333" t="s">
        <v>419</v>
      </c>
      <c r="D32" s="331">
        <v>200311740374.10199</v>
      </c>
      <c r="E32" s="331">
        <v>2326808117.8499999</v>
      </c>
      <c r="F32" s="331">
        <v>19843944695.939999</v>
      </c>
      <c r="G32" s="331">
        <v>2465019514</v>
      </c>
      <c r="H32" s="331">
        <v>22308964209.939999</v>
      </c>
      <c r="I32" s="331">
        <v>180327327291.35001</v>
      </c>
      <c r="J32" s="331">
        <v>10009354090.870001</v>
      </c>
      <c r="K32" s="447">
        <f>J32/I32</f>
        <v>5.55065848377942E-2</v>
      </c>
    </row>
    <row r="33" spans="1:47">
      <c r="A33" s="335"/>
      <c r="B33" s="334"/>
      <c r="C33" s="333"/>
      <c r="D33" s="331"/>
      <c r="E33" s="331"/>
      <c r="F33" s="331"/>
      <c r="G33" s="331"/>
      <c r="H33" s="331"/>
      <c r="I33" s="331"/>
      <c r="J33" s="331"/>
      <c r="K33" s="447"/>
    </row>
    <row r="34" spans="1:47">
      <c r="A34" s="192" t="s">
        <v>17</v>
      </c>
      <c r="B34" s="192"/>
      <c r="C34" s="192"/>
      <c r="D34" s="195">
        <f>SUM(D8:D32)</f>
        <v>310356361910.51489</v>
      </c>
      <c r="E34" s="195">
        <f t="shared" ref="E34:J34" si="1">SUM(E8:E32)</f>
        <v>7905969631.9800014</v>
      </c>
      <c r="F34" s="195">
        <f t="shared" si="1"/>
        <v>38567932502.970001</v>
      </c>
      <c r="G34" s="195">
        <f t="shared" si="1"/>
        <v>12654394372.309999</v>
      </c>
      <c r="H34" s="195">
        <f>SUM(H8:H32)</f>
        <v>51222326875.279999</v>
      </c>
      <c r="I34" s="195">
        <f t="shared" si="1"/>
        <v>262475045575.97</v>
      </c>
      <c r="J34" s="195">
        <f t="shared" si="1"/>
        <v>14112424787.530001</v>
      </c>
      <c r="K34" s="196">
        <f>J34/I34</f>
        <v>5.3766729543991421E-2</v>
      </c>
    </row>
    <row r="35" spans="1:47">
      <c r="D35" s="620"/>
    </row>
    <row r="36" spans="1:47" s="580" customFormat="1" ht="15.75">
      <c r="A36" s="593" t="s">
        <v>1</v>
      </c>
      <c r="B36" s="587"/>
      <c r="C36" s="594"/>
      <c r="D36" s="595"/>
      <c r="E36" s="595"/>
      <c r="F36" s="595"/>
      <c r="G36" s="595"/>
      <c r="H36" s="596"/>
      <c r="I36" s="595"/>
      <c r="J36" s="597"/>
      <c r="K36" s="598"/>
      <c r="N36" s="1213"/>
      <c r="O36" s="599"/>
      <c r="P36" s="600"/>
      <c r="Q36" s="601"/>
      <c r="R36" s="601"/>
      <c r="S36" s="601"/>
      <c r="T36" s="601"/>
      <c r="U36" s="602"/>
      <c r="V36" s="601"/>
      <c r="W36" s="601"/>
      <c r="X36" s="601"/>
      <c r="AA36" s="1213"/>
      <c r="AB36" s="599"/>
      <c r="AC36" s="600"/>
      <c r="AD36" s="601"/>
      <c r="AE36" s="601"/>
      <c r="AF36" s="601"/>
      <c r="AG36" s="601"/>
      <c r="AH36" s="602"/>
      <c r="AI36" s="601"/>
      <c r="AJ36" s="601"/>
      <c r="AK36" s="601"/>
      <c r="AN36" s="603"/>
      <c r="AO36" s="603"/>
      <c r="AP36" s="603"/>
      <c r="AQ36" s="603"/>
      <c r="AR36" s="603"/>
      <c r="AS36" s="603"/>
      <c r="AT36" s="603"/>
      <c r="AU36" s="603"/>
    </row>
    <row r="37" spans="1:47" s="580" customFormat="1">
      <c r="A37" s="898" t="s">
        <v>991</v>
      </c>
      <c r="B37" s="605"/>
      <c r="C37" s="333"/>
      <c r="D37" s="605"/>
      <c r="E37" s="605"/>
      <c r="F37" s="605"/>
      <c r="G37" s="605"/>
      <c r="H37" s="334"/>
      <c r="I37" s="605"/>
      <c r="J37" s="605"/>
      <c r="K37" s="605"/>
      <c r="N37" s="604"/>
      <c r="O37" s="605"/>
      <c r="P37" s="333"/>
      <c r="Q37" s="605"/>
      <c r="R37" s="605"/>
      <c r="S37" s="605"/>
      <c r="T37" s="605"/>
      <c r="U37" s="334"/>
      <c r="V37" s="605"/>
      <c r="W37" s="605"/>
      <c r="X37" s="605"/>
    </row>
    <row r="38" spans="1:47" s="580" customFormat="1">
      <c r="A38" s="606" t="s">
        <v>992</v>
      </c>
      <c r="C38" s="333"/>
      <c r="H38" s="334"/>
      <c r="N38" s="604"/>
      <c r="P38" s="333"/>
      <c r="U38" s="334"/>
    </row>
    <row r="39" spans="1:47" s="580" customFormat="1">
      <c r="A39" s="606" t="s">
        <v>993</v>
      </c>
      <c r="C39" s="333"/>
      <c r="H39" s="334"/>
      <c r="N39" s="604"/>
      <c r="P39" s="333"/>
      <c r="U39" s="334"/>
    </row>
    <row r="40" spans="1:47" s="580" customFormat="1" ht="12.75" customHeight="1">
      <c r="A40" s="898" t="s">
        <v>994</v>
      </c>
      <c r="F40" s="599"/>
      <c r="N40" s="607"/>
      <c r="P40" s="333"/>
      <c r="U40" s="334"/>
    </row>
    <row r="41" spans="1:47" s="580" customFormat="1" ht="12.75" customHeight="1">
      <c r="A41" s="898" t="s">
        <v>995</v>
      </c>
      <c r="B41" s="588"/>
      <c r="C41" s="588"/>
      <c r="D41" s="588"/>
      <c r="E41" s="588"/>
      <c r="F41" s="588"/>
      <c r="G41" s="588"/>
      <c r="H41" s="588"/>
      <c r="I41" s="588"/>
      <c r="J41" s="588"/>
      <c r="K41" s="588"/>
      <c r="N41" s="607"/>
      <c r="P41" s="333"/>
      <c r="U41" s="334"/>
    </row>
    <row r="42" spans="1:47">
      <c r="A42" s="898" t="s">
        <v>996</v>
      </c>
    </row>
    <row r="43" spans="1:47">
      <c r="A43" s="898" t="s">
        <v>997</v>
      </c>
    </row>
    <row r="49" spans="6:6">
      <c r="F49" s="608"/>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G35"/>
  <sheetViews>
    <sheetView zoomScaleNormal="100" workbookViewId="0"/>
  </sheetViews>
  <sheetFormatPr defaultColWidth="9.140625" defaultRowHeight="12.75"/>
  <cols>
    <col min="1" max="1" width="12.42578125" style="581" customWidth="1"/>
    <col min="2" max="2" width="4.7109375" style="581" customWidth="1"/>
    <col min="3" max="3" width="12.42578125" style="581" customWidth="1"/>
    <col min="4" max="7" width="16.28515625" style="581" customWidth="1"/>
    <col min="8" max="27" width="9.140625" style="581"/>
    <col min="28" max="28" width="16.42578125" style="581" customWidth="1"/>
    <col min="29" max="16384" width="9.140625" style="581"/>
  </cols>
  <sheetData>
    <row r="1" spans="1:7" ht="18" customHeight="1">
      <c r="A1" s="609" t="s">
        <v>398</v>
      </c>
      <c r="B1" s="609"/>
      <c r="C1" s="609"/>
    </row>
    <row r="2" spans="1:7" ht="15.75" customHeight="1">
      <c r="A2" s="599" t="s">
        <v>399</v>
      </c>
      <c r="B2" s="599"/>
      <c r="C2" s="599"/>
    </row>
    <row r="3" spans="1:7" ht="15.75" customHeight="1">
      <c r="A3" s="1213" t="str">
        <f>'Table 1.2'!A3</f>
        <v>Taxable Year 2018</v>
      </c>
      <c r="B3" s="599"/>
      <c r="C3" s="599"/>
    </row>
    <row r="4" spans="1:7" ht="16.5" customHeight="1" thickBot="1"/>
    <row r="5" spans="1:7" ht="15.75" customHeight="1">
      <c r="A5" s="585"/>
      <c r="B5" s="585"/>
      <c r="C5" s="610"/>
      <c r="D5" s="194"/>
      <c r="E5" s="610" t="s">
        <v>400</v>
      </c>
      <c r="F5" s="610" t="s">
        <v>400</v>
      </c>
      <c r="G5" s="610" t="s">
        <v>17</v>
      </c>
    </row>
    <row r="6" spans="1:7" ht="15.75" customHeight="1">
      <c r="A6" s="586"/>
      <c r="B6" s="586" t="s">
        <v>384</v>
      </c>
      <c r="C6" s="611"/>
      <c r="D6" s="611" t="s">
        <v>401</v>
      </c>
      <c r="E6" s="611" t="s">
        <v>987</v>
      </c>
      <c r="F6" s="611" t="s">
        <v>987</v>
      </c>
      <c r="G6" s="611" t="s">
        <v>403</v>
      </c>
    </row>
    <row r="7" spans="1:7" ht="15.75" customHeight="1">
      <c r="A7" s="590"/>
      <c r="B7" s="590" t="s">
        <v>387</v>
      </c>
      <c r="C7" s="612"/>
      <c r="D7" s="612" t="s">
        <v>404</v>
      </c>
      <c r="E7" s="612" t="s">
        <v>986</v>
      </c>
      <c r="F7" s="612" t="s">
        <v>988</v>
      </c>
      <c r="G7" s="612" t="s">
        <v>404</v>
      </c>
    </row>
    <row r="8" spans="1:7" ht="15" customHeight="1">
      <c r="A8" s="190"/>
      <c r="B8" s="190"/>
      <c r="C8" s="190"/>
      <c r="D8" s="611"/>
      <c r="E8" s="190"/>
      <c r="F8" s="190"/>
      <c r="G8" s="190"/>
    </row>
    <row r="9" spans="1:7" ht="12.75" customHeight="1">
      <c r="A9" s="336">
        <v>999</v>
      </c>
      <c r="B9" s="334" t="s">
        <v>394</v>
      </c>
      <c r="C9" s="333" t="s">
        <v>395</v>
      </c>
      <c r="D9" s="331">
        <v>89334</v>
      </c>
      <c r="E9" s="331">
        <v>50297</v>
      </c>
      <c r="F9" s="331">
        <v>13153</v>
      </c>
      <c r="G9" s="331">
        <v>152784</v>
      </c>
    </row>
    <row r="10" spans="1:7" ht="12.75" customHeight="1">
      <c r="A10" s="613">
        <v>1000</v>
      </c>
      <c r="B10" s="334" t="s">
        <v>396</v>
      </c>
      <c r="C10" s="336">
        <v>1999</v>
      </c>
      <c r="D10" s="331">
        <v>45195</v>
      </c>
      <c r="E10" s="331">
        <v>6717</v>
      </c>
      <c r="F10" s="331">
        <v>2192</v>
      </c>
      <c r="G10" s="331">
        <v>54104</v>
      </c>
    </row>
    <row r="11" spans="1:7" ht="12.75" customHeight="1">
      <c r="A11" s="613">
        <v>2000</v>
      </c>
      <c r="B11" s="334" t="s">
        <v>396</v>
      </c>
      <c r="C11" s="336">
        <v>2999</v>
      </c>
      <c r="D11" s="331">
        <v>47788</v>
      </c>
      <c r="E11" s="331">
        <v>6118</v>
      </c>
      <c r="F11" s="331">
        <v>2015</v>
      </c>
      <c r="G11" s="331">
        <v>55921</v>
      </c>
    </row>
    <row r="12" spans="1:7" ht="12.75" customHeight="1">
      <c r="A12" s="613">
        <v>3000</v>
      </c>
      <c r="B12" s="334" t="s">
        <v>396</v>
      </c>
      <c r="C12" s="336">
        <v>3999</v>
      </c>
      <c r="D12" s="331">
        <v>48503</v>
      </c>
      <c r="E12" s="331">
        <v>5588</v>
      </c>
      <c r="F12" s="331">
        <v>1871</v>
      </c>
      <c r="G12" s="331">
        <v>55962</v>
      </c>
    </row>
    <row r="13" spans="1:7" ht="12.75" customHeight="1">
      <c r="A13" s="613">
        <v>4000</v>
      </c>
      <c r="B13" s="334" t="s">
        <v>396</v>
      </c>
      <c r="C13" s="336">
        <v>4999</v>
      </c>
      <c r="D13" s="331">
        <v>47342</v>
      </c>
      <c r="E13" s="331">
        <v>5503</v>
      </c>
      <c r="F13" s="331">
        <v>1846</v>
      </c>
      <c r="G13" s="331">
        <v>54691</v>
      </c>
    </row>
    <row r="14" spans="1:7" ht="12.75" customHeight="1">
      <c r="A14" s="613">
        <v>5000</v>
      </c>
      <c r="B14" s="334" t="s">
        <v>396</v>
      </c>
      <c r="C14" s="336">
        <v>5999</v>
      </c>
      <c r="D14" s="331">
        <v>46193</v>
      </c>
      <c r="E14" s="331">
        <v>5302</v>
      </c>
      <c r="F14" s="331">
        <v>1903</v>
      </c>
      <c r="G14" s="331">
        <v>53398</v>
      </c>
    </row>
    <row r="15" spans="1:7" ht="12.75" customHeight="1">
      <c r="A15" s="613">
        <v>6000</v>
      </c>
      <c r="B15" s="334" t="s">
        <v>396</v>
      </c>
      <c r="C15" s="336">
        <v>6999</v>
      </c>
      <c r="D15" s="331">
        <v>45220</v>
      </c>
      <c r="E15" s="331">
        <v>5227</v>
      </c>
      <c r="F15" s="331">
        <v>1752</v>
      </c>
      <c r="G15" s="331">
        <v>52199</v>
      </c>
    </row>
    <row r="16" spans="1:7" ht="12.75" customHeight="1">
      <c r="A16" s="613">
        <v>7000</v>
      </c>
      <c r="B16" s="334" t="s">
        <v>396</v>
      </c>
      <c r="C16" s="336">
        <v>7999</v>
      </c>
      <c r="D16" s="331">
        <v>44165</v>
      </c>
      <c r="E16" s="331">
        <v>5274</v>
      </c>
      <c r="F16" s="331">
        <v>1679</v>
      </c>
      <c r="G16" s="331">
        <v>51118</v>
      </c>
    </row>
    <row r="17" spans="1:33" ht="12.75" customHeight="1">
      <c r="A17" s="613">
        <v>8000</v>
      </c>
      <c r="B17" s="334" t="s">
        <v>396</v>
      </c>
      <c r="C17" s="336">
        <v>8999</v>
      </c>
      <c r="D17" s="331">
        <v>43046</v>
      </c>
      <c r="E17" s="331">
        <v>5314</v>
      </c>
      <c r="F17" s="331">
        <v>1709</v>
      </c>
      <c r="G17" s="331">
        <v>50069</v>
      </c>
      <c r="AA17" s="616"/>
      <c r="AB17" s="614"/>
      <c r="AC17" s="614"/>
      <c r="AD17" s="614"/>
      <c r="AE17" s="614"/>
      <c r="AF17" s="618"/>
    </row>
    <row r="18" spans="1:33" ht="12.75" customHeight="1">
      <c r="A18" s="613">
        <v>9000</v>
      </c>
      <c r="B18" s="334" t="s">
        <v>396</v>
      </c>
      <c r="C18" s="336">
        <v>9999</v>
      </c>
      <c r="D18" s="331">
        <v>43190</v>
      </c>
      <c r="E18" s="331">
        <v>5536</v>
      </c>
      <c r="F18" s="331">
        <v>1684</v>
      </c>
      <c r="G18" s="331">
        <v>50410</v>
      </c>
      <c r="AA18" s="827"/>
      <c r="AB18" s="614"/>
      <c r="AC18" s="614"/>
      <c r="AD18" s="614"/>
      <c r="AE18" s="827"/>
      <c r="AF18" s="827"/>
      <c r="AG18" s="827"/>
    </row>
    <row r="19" spans="1:33" ht="12.75" customHeight="1">
      <c r="A19" s="613">
        <v>10000</v>
      </c>
      <c r="B19" s="334" t="s">
        <v>396</v>
      </c>
      <c r="C19" s="336">
        <v>10999</v>
      </c>
      <c r="D19" s="331">
        <v>45162</v>
      </c>
      <c r="E19" s="331">
        <v>5871</v>
      </c>
      <c r="F19" s="331">
        <v>1755</v>
      </c>
      <c r="G19" s="331">
        <v>52788</v>
      </c>
      <c r="AA19" s="827"/>
      <c r="AB19" s="1277" t="s">
        <v>401</v>
      </c>
      <c r="AC19" s="1278">
        <f>D35</f>
        <v>2322296</v>
      </c>
      <c r="AD19" s="1279">
        <f>AC19/AC$22</f>
        <v>0.58205489316192727</v>
      </c>
      <c r="AE19" s="827"/>
      <c r="AF19" s="827"/>
      <c r="AG19" s="827"/>
    </row>
    <row r="20" spans="1:33" ht="12.75" customHeight="1">
      <c r="A20" s="613">
        <v>11000</v>
      </c>
      <c r="B20" s="334" t="s">
        <v>396</v>
      </c>
      <c r="C20" s="336">
        <v>11999</v>
      </c>
      <c r="D20" s="331">
        <v>44847</v>
      </c>
      <c r="E20" s="331">
        <v>6111</v>
      </c>
      <c r="F20" s="331">
        <v>1762</v>
      </c>
      <c r="G20" s="331">
        <v>52720</v>
      </c>
      <c r="AA20" s="827"/>
      <c r="AB20" s="1277" t="s">
        <v>989</v>
      </c>
      <c r="AC20" s="1278">
        <f>F35</f>
        <v>161101</v>
      </c>
      <c r="AD20" s="1279">
        <f>AC20/AC$22</f>
        <v>4.0377981679889055E-2</v>
      </c>
      <c r="AE20" s="827"/>
      <c r="AF20" s="827"/>
      <c r="AG20" s="827"/>
    </row>
    <row r="21" spans="1:33" ht="12.75" customHeight="1">
      <c r="A21" s="613">
        <v>12000</v>
      </c>
      <c r="B21" s="334" t="s">
        <v>396</v>
      </c>
      <c r="C21" s="336">
        <v>12999</v>
      </c>
      <c r="D21" s="331">
        <v>43396</v>
      </c>
      <c r="E21" s="331">
        <v>6189</v>
      </c>
      <c r="F21" s="331">
        <v>1616</v>
      </c>
      <c r="G21" s="331">
        <v>51201</v>
      </c>
      <c r="AA21" s="827"/>
      <c r="AB21" s="1277" t="s">
        <v>990</v>
      </c>
      <c r="AC21" s="1278">
        <f>E35</f>
        <v>1506426</v>
      </c>
      <c r="AD21" s="1279">
        <f>AC21/AC$22</f>
        <v>0.37756712515818369</v>
      </c>
      <c r="AE21" s="827"/>
      <c r="AF21" s="827"/>
      <c r="AG21" s="827"/>
    </row>
    <row r="22" spans="1:33" ht="12.75" customHeight="1">
      <c r="A22" s="613">
        <v>13000</v>
      </c>
      <c r="B22" s="334" t="s">
        <v>396</v>
      </c>
      <c r="C22" s="336">
        <v>13999</v>
      </c>
      <c r="D22" s="331">
        <v>41429</v>
      </c>
      <c r="E22" s="331">
        <v>6297</v>
      </c>
      <c r="F22" s="331">
        <v>1768</v>
      </c>
      <c r="G22" s="331">
        <v>49494</v>
      </c>
      <c r="AA22" s="827"/>
      <c r="AB22" s="614"/>
      <c r="AC22" s="1280">
        <f>SUM(AC19:AC21)</f>
        <v>3989823</v>
      </c>
      <c r="AD22" s="1281">
        <f>SUM(AD19:AD21)</f>
        <v>1</v>
      </c>
      <c r="AE22" s="827"/>
      <c r="AF22" s="827"/>
      <c r="AG22" s="827"/>
    </row>
    <row r="23" spans="1:33" ht="12.75" customHeight="1">
      <c r="A23" s="613">
        <v>14000</v>
      </c>
      <c r="B23" s="334" t="s">
        <v>396</v>
      </c>
      <c r="C23" s="336">
        <v>14999</v>
      </c>
      <c r="D23" s="331">
        <v>42939</v>
      </c>
      <c r="E23" s="331">
        <v>6968</v>
      </c>
      <c r="F23" s="331">
        <v>1765</v>
      </c>
      <c r="G23" s="331">
        <v>51672</v>
      </c>
      <c r="AA23" s="827"/>
      <c r="AB23" s="614"/>
      <c r="AC23" s="614">
        <f>58+4+38</f>
        <v>100</v>
      </c>
      <c r="AD23" s="614"/>
      <c r="AE23" s="827"/>
      <c r="AF23" s="827"/>
      <c r="AG23" s="827"/>
    </row>
    <row r="24" spans="1:33" ht="12.75" customHeight="1">
      <c r="A24" s="613">
        <v>15000</v>
      </c>
      <c r="B24" s="334" t="s">
        <v>396</v>
      </c>
      <c r="C24" s="336">
        <v>19999</v>
      </c>
      <c r="D24" s="331">
        <v>196489</v>
      </c>
      <c r="E24" s="331">
        <v>36475</v>
      </c>
      <c r="F24" s="331">
        <v>8796</v>
      </c>
      <c r="G24" s="331">
        <v>241760</v>
      </c>
      <c r="AA24" s="827"/>
      <c r="AB24" s="614"/>
      <c r="AC24" s="614"/>
      <c r="AD24" s="614"/>
      <c r="AE24" s="827"/>
      <c r="AF24" s="827"/>
      <c r="AG24" s="827"/>
    </row>
    <row r="25" spans="1:33" ht="12.75" customHeight="1">
      <c r="A25" s="613">
        <v>20000</v>
      </c>
      <c r="B25" s="334" t="s">
        <v>396</v>
      </c>
      <c r="C25" s="336">
        <v>24999</v>
      </c>
      <c r="D25" s="331">
        <v>179190</v>
      </c>
      <c r="E25" s="331">
        <v>42117</v>
      </c>
      <c r="F25" s="331">
        <v>8855</v>
      </c>
      <c r="G25" s="331">
        <v>230162</v>
      </c>
      <c r="H25" s="914"/>
      <c r="AA25" s="827"/>
      <c r="AB25" s="827"/>
      <c r="AC25" s="827"/>
      <c r="AD25" s="827"/>
      <c r="AE25" s="827"/>
      <c r="AF25" s="827"/>
      <c r="AG25" s="827"/>
    </row>
    <row r="26" spans="1:33" ht="12.75" customHeight="1">
      <c r="A26" s="613">
        <v>25000</v>
      </c>
      <c r="B26" s="334" t="s">
        <v>396</v>
      </c>
      <c r="C26" s="336">
        <v>29999</v>
      </c>
      <c r="D26" s="331">
        <v>164505</v>
      </c>
      <c r="E26" s="331">
        <v>43099</v>
      </c>
      <c r="F26" s="331">
        <v>9037</v>
      </c>
      <c r="G26" s="331">
        <v>216641</v>
      </c>
    </row>
    <row r="27" spans="1:33" ht="12.75" customHeight="1">
      <c r="A27" s="613">
        <v>30000</v>
      </c>
      <c r="B27" s="334" t="s">
        <v>396</v>
      </c>
      <c r="C27" s="336">
        <v>34999</v>
      </c>
      <c r="D27" s="331">
        <v>146899</v>
      </c>
      <c r="E27" s="331">
        <v>43942</v>
      </c>
      <c r="F27" s="331">
        <v>9119</v>
      </c>
      <c r="G27" s="331">
        <v>199960</v>
      </c>
    </row>
    <row r="28" spans="1:33" ht="12.75" customHeight="1">
      <c r="A28" s="613">
        <v>35000</v>
      </c>
      <c r="B28" s="334" t="s">
        <v>396</v>
      </c>
      <c r="C28" s="336">
        <v>39999</v>
      </c>
      <c r="D28" s="331">
        <v>125356</v>
      </c>
      <c r="E28" s="331">
        <v>44300</v>
      </c>
      <c r="F28" s="331">
        <v>8697</v>
      </c>
      <c r="G28" s="331">
        <v>178353</v>
      </c>
      <c r="H28" s="914"/>
    </row>
    <row r="29" spans="1:33" ht="12.75" customHeight="1">
      <c r="A29" s="613">
        <v>40000</v>
      </c>
      <c r="B29" s="334" t="s">
        <v>396</v>
      </c>
      <c r="C29" s="336">
        <v>44999</v>
      </c>
      <c r="D29" s="331">
        <v>107146</v>
      </c>
      <c r="E29" s="331">
        <v>43849</v>
      </c>
      <c r="F29" s="331">
        <v>8239</v>
      </c>
      <c r="G29" s="331">
        <v>159234</v>
      </c>
    </row>
    <row r="30" spans="1:33" ht="12.75" customHeight="1">
      <c r="A30" s="613">
        <v>45000</v>
      </c>
      <c r="B30" s="334" t="s">
        <v>396</v>
      </c>
      <c r="C30" s="336">
        <v>49999</v>
      </c>
      <c r="D30" s="331">
        <v>92687</v>
      </c>
      <c r="E30" s="331">
        <v>43627</v>
      </c>
      <c r="F30" s="331">
        <v>7591</v>
      </c>
      <c r="G30" s="331">
        <v>143905</v>
      </c>
    </row>
    <row r="31" spans="1:33" ht="12.75" customHeight="1">
      <c r="A31" s="613">
        <v>50000</v>
      </c>
      <c r="B31" s="334" t="s">
        <v>396</v>
      </c>
      <c r="C31" s="336">
        <v>74999</v>
      </c>
      <c r="D31" s="331">
        <v>287717</v>
      </c>
      <c r="E31" s="331">
        <v>210432</v>
      </c>
      <c r="F31" s="331">
        <v>26185</v>
      </c>
      <c r="G31" s="331">
        <v>524334</v>
      </c>
      <c r="H31" s="914"/>
    </row>
    <row r="32" spans="1:33" ht="12.75" customHeight="1">
      <c r="A32" s="613">
        <v>75000</v>
      </c>
      <c r="B32" s="334" t="s">
        <v>396</v>
      </c>
      <c r="C32" s="336">
        <v>99999</v>
      </c>
      <c r="D32" s="331">
        <v>135162</v>
      </c>
      <c r="E32" s="331">
        <v>195767</v>
      </c>
      <c r="F32" s="331">
        <v>13846</v>
      </c>
      <c r="G32" s="331">
        <v>344775</v>
      </c>
    </row>
    <row r="33" spans="1:7" ht="12.75" customHeight="1">
      <c r="A33" s="613">
        <v>100000</v>
      </c>
      <c r="B33" s="334" t="s">
        <v>394</v>
      </c>
      <c r="C33" s="615" t="s">
        <v>419</v>
      </c>
      <c r="D33" s="483">
        <v>169396</v>
      </c>
      <c r="E33" s="483">
        <v>670506</v>
      </c>
      <c r="F33" s="483">
        <v>22266</v>
      </c>
      <c r="G33" s="483">
        <v>862168</v>
      </c>
    </row>
    <row r="34" spans="1:7" ht="12.75" customHeight="1">
      <c r="A34" s="613"/>
      <c r="B34" s="334"/>
      <c r="C34" s="615"/>
      <c r="D34" s="483"/>
      <c r="E34" s="483"/>
      <c r="F34" s="483"/>
      <c r="G34" s="483"/>
    </row>
    <row r="35" spans="1:7" ht="15" customHeight="1">
      <c r="A35" s="192" t="s">
        <v>397</v>
      </c>
      <c r="B35" s="192"/>
      <c r="C35" s="192"/>
      <c r="D35" s="193">
        <f>SUM(D9:D33)</f>
        <v>2322296</v>
      </c>
      <c r="E35" s="193">
        <f>SUM(E9:E33)</f>
        <v>1506426</v>
      </c>
      <c r="F35" s="193">
        <f>SUM(F9:F33)</f>
        <v>161101</v>
      </c>
      <c r="G35" s="193">
        <f>SUM(G9:G33)</f>
        <v>3989823</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5"/>
  <sheetViews>
    <sheetView zoomScaleNormal="100" workbookViewId="0"/>
  </sheetViews>
  <sheetFormatPr defaultColWidth="9.140625" defaultRowHeight="12.75"/>
  <cols>
    <col min="1" max="1" width="12.42578125" style="581" customWidth="1"/>
    <col min="2" max="2" width="4.7109375" style="581" customWidth="1"/>
    <col min="3" max="3" width="12.42578125" style="581" customWidth="1"/>
    <col min="4" max="4" width="16.42578125" style="581" customWidth="1"/>
    <col min="5" max="8" width="15" style="581" customWidth="1"/>
    <col min="9" max="9" width="17.7109375" style="581" customWidth="1"/>
    <col min="10" max="16384" width="9.140625" style="581"/>
  </cols>
  <sheetData>
    <row r="1" spans="1:10" s="580" customFormat="1" ht="18">
      <c r="A1" s="609" t="s">
        <v>382</v>
      </c>
      <c r="B1" s="334"/>
      <c r="C1" s="615"/>
      <c r="D1" s="615"/>
    </row>
    <row r="2" spans="1:10" s="580" customFormat="1" ht="15.75">
      <c r="A2" s="599" t="s">
        <v>383</v>
      </c>
      <c r="B2" s="334"/>
      <c r="C2" s="615"/>
      <c r="D2" s="615"/>
    </row>
    <row r="3" spans="1:10" s="580" customFormat="1" ht="15.75">
      <c r="A3" s="582" t="str">
        <f>'Table 1.2'!A3</f>
        <v>Taxable Year 2018</v>
      </c>
      <c r="B3" s="334"/>
      <c r="C3" s="615"/>
      <c r="D3" s="615"/>
    </row>
    <row r="4" spans="1:10" ht="13.5" customHeight="1" thickBot="1"/>
    <row r="5" spans="1:10" s="617" customFormat="1" ht="15.75">
      <c r="A5" s="585"/>
      <c r="B5" s="585" t="s">
        <v>384</v>
      </c>
      <c r="C5" s="610"/>
      <c r="D5" s="610" t="s">
        <v>385</v>
      </c>
      <c r="E5" s="584"/>
      <c r="F5" s="584"/>
      <c r="G5" s="584"/>
      <c r="H5" s="584"/>
      <c r="I5" s="610" t="s">
        <v>385</v>
      </c>
      <c r="J5" s="617" t="s">
        <v>386</v>
      </c>
    </row>
    <row r="6" spans="1:10" s="617" customFormat="1" ht="15.75">
      <c r="A6" s="590"/>
      <c r="B6" s="590" t="s">
        <v>387</v>
      </c>
      <c r="C6" s="612"/>
      <c r="D6" s="612" t="s">
        <v>388</v>
      </c>
      <c r="E6" s="612" t="s">
        <v>389</v>
      </c>
      <c r="F6" s="612" t="s">
        <v>390</v>
      </c>
      <c r="G6" s="612" t="s">
        <v>391</v>
      </c>
      <c r="H6" s="612" t="s">
        <v>392</v>
      </c>
      <c r="I6" s="612" t="s">
        <v>393</v>
      </c>
    </row>
    <row r="7" spans="1:10" ht="15.75" customHeight="1">
      <c r="A7" s="190"/>
      <c r="B7" s="190"/>
      <c r="C7" s="191"/>
      <c r="D7" s="191"/>
      <c r="E7" s="191"/>
      <c r="F7" s="191"/>
      <c r="G7" s="190"/>
    </row>
    <row r="8" spans="1:10" ht="15" customHeight="1">
      <c r="A8" s="613">
        <v>999</v>
      </c>
      <c r="B8" s="334" t="s">
        <v>394</v>
      </c>
      <c r="C8" s="333" t="s">
        <v>395</v>
      </c>
      <c r="D8" s="331">
        <v>152784</v>
      </c>
      <c r="E8" s="331">
        <v>200865</v>
      </c>
      <c r="F8" s="331">
        <v>62057</v>
      </c>
      <c r="G8" s="331">
        <v>47571</v>
      </c>
      <c r="H8" s="331">
        <v>439</v>
      </c>
      <c r="I8" s="331">
        <v>310932</v>
      </c>
    </row>
    <row r="9" spans="1:10" ht="15" customHeight="1">
      <c r="A9" s="613">
        <v>1000</v>
      </c>
      <c r="B9" s="334" t="s">
        <v>396</v>
      </c>
      <c r="C9" s="336">
        <v>1999</v>
      </c>
      <c r="D9" s="331">
        <v>54104</v>
      </c>
      <c r="E9" s="331">
        <v>60512</v>
      </c>
      <c r="F9" s="331">
        <v>11682</v>
      </c>
      <c r="G9" s="331">
        <v>7137</v>
      </c>
      <c r="H9" s="331">
        <v>96</v>
      </c>
      <c r="I9" s="331">
        <v>79427</v>
      </c>
    </row>
    <row r="10" spans="1:10" ht="15" customHeight="1">
      <c r="A10" s="613">
        <v>2000</v>
      </c>
      <c r="B10" s="334" t="s">
        <v>396</v>
      </c>
      <c r="C10" s="336">
        <v>2999</v>
      </c>
      <c r="D10" s="331">
        <v>55921</v>
      </c>
      <c r="E10" s="331">
        <v>61872</v>
      </c>
      <c r="F10" s="331">
        <v>11209</v>
      </c>
      <c r="G10" s="483">
        <v>6892</v>
      </c>
      <c r="H10" s="331">
        <v>91</v>
      </c>
      <c r="I10" s="331">
        <v>80064</v>
      </c>
    </row>
    <row r="11" spans="1:10" ht="15" customHeight="1">
      <c r="A11" s="613">
        <v>3000</v>
      </c>
      <c r="B11" s="334" t="s">
        <v>396</v>
      </c>
      <c r="C11" s="336">
        <v>3999</v>
      </c>
      <c r="D11" s="331">
        <v>55962</v>
      </c>
      <c r="E11" s="331">
        <v>61427</v>
      </c>
      <c r="F11" s="331">
        <v>11338</v>
      </c>
      <c r="G11" s="331">
        <v>7056</v>
      </c>
      <c r="H11" s="331">
        <v>104</v>
      </c>
      <c r="I11" s="331">
        <v>79925</v>
      </c>
    </row>
    <row r="12" spans="1:10" ht="15" customHeight="1">
      <c r="A12" s="613">
        <v>4000</v>
      </c>
      <c r="B12" s="334" t="s">
        <v>396</v>
      </c>
      <c r="C12" s="336">
        <v>4999</v>
      </c>
      <c r="D12" s="331">
        <v>54691</v>
      </c>
      <c r="E12" s="331">
        <v>60112</v>
      </c>
      <c r="F12" s="331">
        <v>11996</v>
      </c>
      <c r="G12" s="331">
        <v>7198</v>
      </c>
      <c r="H12" s="331">
        <v>93</v>
      </c>
      <c r="I12" s="331">
        <v>79399</v>
      </c>
    </row>
    <row r="13" spans="1:10" ht="15" customHeight="1">
      <c r="A13" s="613">
        <v>5000</v>
      </c>
      <c r="B13" s="334" t="s">
        <v>396</v>
      </c>
      <c r="C13" s="336">
        <v>5999</v>
      </c>
      <c r="D13" s="331">
        <v>53398</v>
      </c>
      <c r="E13" s="331">
        <v>58633</v>
      </c>
      <c r="F13" s="331">
        <v>11922</v>
      </c>
      <c r="G13" s="331">
        <v>7618</v>
      </c>
      <c r="H13" s="331">
        <v>77</v>
      </c>
      <c r="I13" s="331">
        <v>78250</v>
      </c>
    </row>
    <row r="14" spans="1:10" ht="15" customHeight="1">
      <c r="A14" s="613">
        <v>6000</v>
      </c>
      <c r="B14" s="334" t="s">
        <v>396</v>
      </c>
      <c r="C14" s="336">
        <v>6999</v>
      </c>
      <c r="D14" s="331">
        <v>52199</v>
      </c>
      <c r="E14" s="331">
        <v>57385</v>
      </c>
      <c r="F14" s="331">
        <v>12682</v>
      </c>
      <c r="G14" s="331">
        <v>7834</v>
      </c>
      <c r="H14" s="331">
        <v>107</v>
      </c>
      <c r="I14" s="331">
        <v>78008</v>
      </c>
    </row>
    <row r="15" spans="1:10" ht="15" customHeight="1">
      <c r="A15" s="613">
        <v>7000</v>
      </c>
      <c r="B15" s="334" t="s">
        <v>396</v>
      </c>
      <c r="C15" s="336">
        <v>7999</v>
      </c>
      <c r="D15" s="331">
        <v>51118</v>
      </c>
      <c r="E15" s="331">
        <v>56400</v>
      </c>
      <c r="F15" s="331">
        <v>13407</v>
      </c>
      <c r="G15" s="331">
        <v>8123</v>
      </c>
      <c r="H15" s="331">
        <v>102</v>
      </c>
      <c r="I15" s="331">
        <v>78032</v>
      </c>
    </row>
    <row r="16" spans="1:10" ht="15" customHeight="1">
      <c r="A16" s="613">
        <v>8000</v>
      </c>
      <c r="B16" s="334" t="s">
        <v>396</v>
      </c>
      <c r="C16" s="336">
        <v>8999</v>
      </c>
      <c r="D16" s="331">
        <v>50069</v>
      </c>
      <c r="E16" s="331">
        <v>55399</v>
      </c>
      <c r="F16" s="331">
        <v>14436</v>
      </c>
      <c r="G16" s="331">
        <v>8439</v>
      </c>
      <c r="H16" s="331">
        <v>131</v>
      </c>
      <c r="I16" s="331">
        <v>78405</v>
      </c>
    </row>
    <row r="17" spans="1:9" ht="15" customHeight="1">
      <c r="A17" s="613">
        <v>9000</v>
      </c>
      <c r="B17" s="334" t="s">
        <v>396</v>
      </c>
      <c r="C17" s="336">
        <v>9999</v>
      </c>
      <c r="D17" s="331">
        <v>50410</v>
      </c>
      <c r="E17" s="331">
        <v>55957</v>
      </c>
      <c r="F17" s="331">
        <v>15972</v>
      </c>
      <c r="G17" s="331">
        <v>8854</v>
      </c>
      <c r="H17" s="331">
        <v>114</v>
      </c>
      <c r="I17" s="331">
        <v>80897</v>
      </c>
    </row>
    <row r="18" spans="1:9" ht="15" customHeight="1">
      <c r="A18" s="613">
        <v>10000</v>
      </c>
      <c r="B18" s="334" t="s">
        <v>396</v>
      </c>
      <c r="C18" s="336">
        <v>10999</v>
      </c>
      <c r="D18" s="331">
        <v>52788</v>
      </c>
      <c r="E18" s="331">
        <v>58673</v>
      </c>
      <c r="F18" s="331">
        <v>19163</v>
      </c>
      <c r="G18" s="331">
        <v>9437</v>
      </c>
      <c r="H18" s="331">
        <v>119</v>
      </c>
      <c r="I18" s="331">
        <v>87392</v>
      </c>
    </row>
    <row r="19" spans="1:9" ht="15" customHeight="1">
      <c r="A19" s="613">
        <v>11000</v>
      </c>
      <c r="B19" s="334" t="s">
        <v>396</v>
      </c>
      <c r="C19" s="336">
        <v>11999</v>
      </c>
      <c r="D19" s="331">
        <v>52720</v>
      </c>
      <c r="E19" s="331">
        <v>58887</v>
      </c>
      <c r="F19" s="331">
        <v>19797</v>
      </c>
      <c r="G19" s="331">
        <v>10033</v>
      </c>
      <c r="H19" s="331">
        <v>143</v>
      </c>
      <c r="I19" s="331">
        <v>88860</v>
      </c>
    </row>
    <row r="20" spans="1:9" ht="15" customHeight="1">
      <c r="A20" s="613">
        <v>12000</v>
      </c>
      <c r="B20" s="334" t="s">
        <v>396</v>
      </c>
      <c r="C20" s="336">
        <v>12999</v>
      </c>
      <c r="D20" s="331">
        <v>51201</v>
      </c>
      <c r="E20" s="331">
        <v>57460</v>
      </c>
      <c r="F20" s="331">
        <v>20200</v>
      </c>
      <c r="G20" s="331">
        <v>10509</v>
      </c>
      <c r="H20" s="331">
        <v>109</v>
      </c>
      <c r="I20" s="331">
        <v>88278</v>
      </c>
    </row>
    <row r="21" spans="1:9" ht="15" customHeight="1">
      <c r="A21" s="613">
        <v>13000</v>
      </c>
      <c r="B21" s="334" t="s">
        <v>396</v>
      </c>
      <c r="C21" s="336">
        <v>13999</v>
      </c>
      <c r="D21" s="331">
        <v>49494</v>
      </c>
      <c r="E21" s="331">
        <v>55858</v>
      </c>
      <c r="F21" s="331">
        <v>21278</v>
      </c>
      <c r="G21" s="331">
        <v>10584</v>
      </c>
      <c r="H21" s="331">
        <v>113</v>
      </c>
      <c r="I21" s="331">
        <v>87833</v>
      </c>
    </row>
    <row r="22" spans="1:9" ht="15" customHeight="1">
      <c r="A22" s="613">
        <v>14000</v>
      </c>
      <c r="B22" s="334" t="s">
        <v>396</v>
      </c>
      <c r="C22" s="336">
        <v>14999</v>
      </c>
      <c r="D22" s="331">
        <v>51672</v>
      </c>
      <c r="E22" s="331">
        <v>58693</v>
      </c>
      <c r="F22" s="331">
        <v>29360</v>
      </c>
      <c r="G22" s="331">
        <v>10828</v>
      </c>
      <c r="H22" s="331">
        <v>116</v>
      </c>
      <c r="I22" s="331">
        <v>98997</v>
      </c>
    </row>
    <row r="23" spans="1:9" ht="15" customHeight="1">
      <c r="A23" s="613">
        <v>15000</v>
      </c>
      <c r="B23" s="334" t="s">
        <v>396</v>
      </c>
      <c r="C23" s="336">
        <v>19999</v>
      </c>
      <c r="D23" s="331">
        <v>241760</v>
      </c>
      <c r="E23" s="331">
        <v>278670</v>
      </c>
      <c r="F23" s="331">
        <v>123379</v>
      </c>
      <c r="G23" s="331">
        <v>55731</v>
      </c>
      <c r="H23" s="331">
        <v>612</v>
      </c>
      <c r="I23" s="331">
        <v>458392</v>
      </c>
    </row>
    <row r="24" spans="1:9" ht="15" customHeight="1">
      <c r="A24" s="613">
        <v>20000</v>
      </c>
      <c r="B24" s="334" t="s">
        <v>396</v>
      </c>
      <c r="C24" s="336">
        <v>24999</v>
      </c>
      <c r="D24" s="331">
        <v>230162</v>
      </c>
      <c r="E24" s="331">
        <v>272811</v>
      </c>
      <c r="F24" s="331">
        <v>119238</v>
      </c>
      <c r="G24" s="331">
        <v>55404</v>
      </c>
      <c r="H24" s="331">
        <v>583</v>
      </c>
      <c r="I24" s="331">
        <v>448036</v>
      </c>
    </row>
    <row r="25" spans="1:9" ht="15" customHeight="1">
      <c r="A25" s="613">
        <v>25000</v>
      </c>
      <c r="B25" s="334" t="s">
        <v>396</v>
      </c>
      <c r="C25" s="336">
        <v>29999</v>
      </c>
      <c r="D25" s="331">
        <v>216641</v>
      </c>
      <c r="E25" s="331">
        <v>260332</v>
      </c>
      <c r="F25" s="331">
        <v>116306</v>
      </c>
      <c r="G25" s="331">
        <v>52770</v>
      </c>
      <c r="H25" s="331">
        <v>539</v>
      </c>
      <c r="I25" s="331">
        <v>429947</v>
      </c>
    </row>
    <row r="26" spans="1:9" ht="15" customHeight="1">
      <c r="A26" s="613">
        <v>30000</v>
      </c>
      <c r="B26" s="334" t="s">
        <v>396</v>
      </c>
      <c r="C26" s="336">
        <v>34999</v>
      </c>
      <c r="D26" s="331">
        <v>199960</v>
      </c>
      <c r="E26" s="331">
        <v>244543</v>
      </c>
      <c r="F26" s="331">
        <v>109462</v>
      </c>
      <c r="G26" s="331">
        <v>48827</v>
      </c>
      <c r="H26" s="331">
        <v>478</v>
      </c>
      <c r="I26" s="331">
        <v>403310</v>
      </c>
    </row>
    <row r="27" spans="1:9" ht="15" customHeight="1">
      <c r="A27" s="613">
        <v>35000</v>
      </c>
      <c r="B27" s="334" t="s">
        <v>396</v>
      </c>
      <c r="C27" s="336">
        <v>39999</v>
      </c>
      <c r="D27" s="331">
        <v>178353</v>
      </c>
      <c r="E27" s="331">
        <v>223336</v>
      </c>
      <c r="F27" s="331">
        <v>95869</v>
      </c>
      <c r="G27" s="331">
        <v>45256</v>
      </c>
      <c r="H27" s="331">
        <v>471</v>
      </c>
      <c r="I27" s="331">
        <v>364932</v>
      </c>
    </row>
    <row r="28" spans="1:9" ht="15" customHeight="1">
      <c r="A28" s="613">
        <v>40000</v>
      </c>
      <c r="B28" s="334" t="s">
        <v>396</v>
      </c>
      <c r="C28" s="336">
        <v>44999</v>
      </c>
      <c r="D28" s="331">
        <v>159234</v>
      </c>
      <c r="E28" s="331">
        <v>203708</v>
      </c>
      <c r="F28" s="331">
        <v>83390</v>
      </c>
      <c r="G28" s="331">
        <v>41010</v>
      </c>
      <c r="H28" s="331">
        <v>374</v>
      </c>
      <c r="I28" s="331">
        <v>328482</v>
      </c>
    </row>
    <row r="29" spans="1:9" ht="15" customHeight="1">
      <c r="A29" s="613">
        <v>45000</v>
      </c>
      <c r="B29" s="334" t="s">
        <v>396</v>
      </c>
      <c r="C29" s="336">
        <v>49999</v>
      </c>
      <c r="D29" s="331">
        <v>143905</v>
      </c>
      <c r="E29" s="331">
        <v>188216</v>
      </c>
      <c r="F29" s="331">
        <v>74792</v>
      </c>
      <c r="G29" s="331">
        <v>37585</v>
      </c>
      <c r="H29" s="331">
        <v>344</v>
      </c>
      <c r="I29" s="331">
        <v>300937</v>
      </c>
    </row>
    <row r="30" spans="1:9" ht="15" customHeight="1">
      <c r="A30" s="613">
        <v>50000</v>
      </c>
      <c r="B30" s="334" t="s">
        <v>396</v>
      </c>
      <c r="C30" s="336">
        <v>74999</v>
      </c>
      <c r="D30" s="331">
        <v>524334</v>
      </c>
      <c r="E30" s="331">
        <v>737706</v>
      </c>
      <c r="F30" s="331">
        <v>285445</v>
      </c>
      <c r="G30" s="331">
        <v>146120</v>
      </c>
      <c r="H30" s="331">
        <v>1238</v>
      </c>
      <c r="I30" s="331">
        <v>1170509</v>
      </c>
    </row>
    <row r="31" spans="1:9" ht="15" customHeight="1">
      <c r="A31" s="613">
        <v>75000</v>
      </c>
      <c r="B31" s="334" t="s">
        <v>396</v>
      </c>
      <c r="C31" s="336">
        <v>99999</v>
      </c>
      <c r="D31" s="331">
        <v>344775</v>
      </c>
      <c r="E31" s="331">
        <v>542694</v>
      </c>
      <c r="F31" s="331">
        <v>224558</v>
      </c>
      <c r="G31" s="331">
        <v>97027</v>
      </c>
      <c r="H31" s="331">
        <v>745</v>
      </c>
      <c r="I31" s="331">
        <v>865024</v>
      </c>
    </row>
    <row r="32" spans="1:9" ht="15" customHeight="1">
      <c r="A32" s="613">
        <v>100000</v>
      </c>
      <c r="B32" s="334" t="s">
        <v>394</v>
      </c>
      <c r="C32" s="615" t="s">
        <v>419</v>
      </c>
      <c r="D32" s="483">
        <v>862168</v>
      </c>
      <c r="E32" s="483">
        <v>1537303</v>
      </c>
      <c r="F32" s="483">
        <v>769846</v>
      </c>
      <c r="G32" s="483">
        <v>241977</v>
      </c>
      <c r="H32" s="483">
        <v>1508</v>
      </c>
      <c r="I32" s="483">
        <v>2550634</v>
      </c>
    </row>
    <row r="33" spans="1:9" ht="15" customHeight="1">
      <c r="A33" s="613"/>
      <c r="B33" s="334"/>
      <c r="C33" s="615"/>
      <c r="D33" s="483"/>
      <c r="E33" s="483"/>
      <c r="F33" s="483"/>
      <c r="G33" s="483"/>
      <c r="H33" s="483"/>
      <c r="I33" s="483"/>
    </row>
    <row r="34" spans="1:9" ht="15" customHeight="1">
      <c r="A34" s="192" t="s">
        <v>397</v>
      </c>
      <c r="B34" s="192"/>
      <c r="C34" s="192"/>
      <c r="D34" s="193">
        <f t="shared" ref="D34:I34" si="0">SUM(D8:D32)</f>
        <v>3989823</v>
      </c>
      <c r="E34" s="193">
        <f t="shared" si="0"/>
        <v>5507452</v>
      </c>
      <c r="F34" s="193">
        <f t="shared" si="0"/>
        <v>2288784</v>
      </c>
      <c r="G34" s="193">
        <f t="shared" si="0"/>
        <v>989820</v>
      </c>
      <c r="H34" s="193">
        <f t="shared" si="0"/>
        <v>8846</v>
      </c>
      <c r="I34" s="193">
        <f t="shared" si="0"/>
        <v>8794902</v>
      </c>
    </row>
    <row r="36" spans="1:9">
      <c r="E36" s="827"/>
      <c r="F36" s="827"/>
      <c r="G36" s="827"/>
      <c r="H36" s="827"/>
    </row>
    <row r="37" spans="1:9">
      <c r="E37" s="618"/>
      <c r="F37" s="618"/>
      <c r="G37" s="618"/>
      <c r="H37" s="827"/>
      <c r="I37" s="616"/>
    </row>
    <row r="38" spans="1:9">
      <c r="D38" s="618"/>
      <c r="E38" s="618"/>
      <c r="F38" s="618"/>
      <c r="G38" s="618"/>
      <c r="H38" s="827"/>
    </row>
    <row r="39" spans="1:9">
      <c r="D39" s="614"/>
      <c r="E39" s="985" t="s">
        <v>391</v>
      </c>
      <c r="F39" s="986">
        <f>G34</f>
        <v>989820</v>
      </c>
      <c r="G39" s="987">
        <f>F39/F$43</f>
        <v>0.11254474467140169</v>
      </c>
      <c r="H39" s="827"/>
    </row>
    <row r="40" spans="1:9">
      <c r="D40" s="614"/>
      <c r="E40" s="985" t="s">
        <v>392</v>
      </c>
      <c r="F40" s="986">
        <f>H34</f>
        <v>8846</v>
      </c>
      <c r="G40" s="987">
        <f>F40/F$43</f>
        <v>1.0058099567226558E-3</v>
      </c>
      <c r="H40" s="827"/>
    </row>
    <row r="41" spans="1:9">
      <c r="D41" s="614"/>
      <c r="E41" s="985" t="s">
        <v>389</v>
      </c>
      <c r="F41" s="986">
        <f>E34</f>
        <v>5507452</v>
      </c>
      <c r="G41" s="987">
        <f>F41/F$43</f>
        <v>0.62620959278454724</v>
      </c>
      <c r="H41" s="827"/>
    </row>
    <row r="42" spans="1:9">
      <c r="D42" s="614"/>
      <c r="E42" s="985" t="s">
        <v>390</v>
      </c>
      <c r="F42" s="986">
        <f>F34</f>
        <v>2288784</v>
      </c>
      <c r="G42" s="987">
        <f>F42/F$43</f>
        <v>0.26023985258732846</v>
      </c>
      <c r="H42" s="827"/>
    </row>
    <row r="43" spans="1:9">
      <c r="D43" s="614"/>
      <c r="E43" s="618"/>
      <c r="F43" s="988">
        <f>SUM(F39:F42)</f>
        <v>8794902</v>
      </c>
      <c r="G43" s="1119">
        <f>SUM(G39:G42)</f>
        <v>1</v>
      </c>
      <c r="H43" s="827"/>
    </row>
    <row r="44" spans="1:9">
      <c r="D44" s="618"/>
      <c r="E44" s="618"/>
      <c r="F44" s="618"/>
      <c r="G44" s="618"/>
      <c r="H44" s="827"/>
    </row>
    <row r="45" spans="1:9">
      <c r="G45" s="581">
        <f>62.6+11.3+26+0.1</f>
        <v>100</v>
      </c>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12"/>
  <sheetViews>
    <sheetView showOutlineSymbols="0" zoomScaleNormal="100" workbookViewId="0"/>
  </sheetViews>
  <sheetFormatPr defaultColWidth="10.7109375" defaultRowHeight="17.100000000000001" customHeight="1"/>
  <cols>
    <col min="1" max="1" width="15.42578125" style="400" customWidth="1"/>
    <col min="2" max="2" width="15.7109375" style="400" customWidth="1"/>
    <col min="3" max="4" width="15.5703125" style="400" customWidth="1"/>
    <col min="5" max="5" width="16.28515625" style="400" customWidth="1"/>
    <col min="6" max="7" width="15.5703125" style="400" customWidth="1"/>
    <col min="8" max="8" width="16.7109375" style="400" customWidth="1"/>
    <col min="9" max="9" width="16.5703125" style="400" customWidth="1"/>
    <col min="10" max="10" width="17.7109375" style="400" customWidth="1"/>
    <col min="11" max="11" width="17" style="400" customWidth="1"/>
    <col min="12" max="12" width="18.42578125" style="400" customWidth="1"/>
    <col min="13" max="13" width="18.85546875" style="490" bestFit="1" customWidth="1"/>
    <col min="14" max="16384" width="10.7109375" style="400"/>
  </cols>
  <sheetData>
    <row r="1" spans="1:13" ht="18">
      <c r="A1" s="399" t="s">
        <v>698</v>
      </c>
      <c r="C1" s="401"/>
      <c r="D1" s="401"/>
      <c r="E1" s="401"/>
      <c r="F1" s="401"/>
      <c r="G1" s="401"/>
      <c r="H1" s="401"/>
      <c r="I1" s="401"/>
      <c r="J1" s="401"/>
      <c r="K1" s="401"/>
      <c r="L1" s="401"/>
    </row>
    <row r="2" spans="1:13" ht="17.100000000000001" customHeight="1">
      <c r="A2" s="402" t="s">
        <v>699</v>
      </c>
      <c r="C2" s="401"/>
      <c r="D2" s="401"/>
      <c r="E2" s="401"/>
      <c r="F2" s="401"/>
      <c r="G2" s="401"/>
      <c r="H2" s="401"/>
      <c r="I2" s="401"/>
      <c r="J2" s="401"/>
      <c r="K2" s="401"/>
      <c r="L2" s="401"/>
    </row>
    <row r="3" spans="1:13" ht="17.100000000000001" customHeight="1">
      <c r="A3" s="403" t="str">
        <f>'Table 1.4'!A3</f>
        <v>Taxable Year 2018</v>
      </c>
      <c r="C3" s="404"/>
      <c r="D3" s="404"/>
      <c r="E3" s="404"/>
      <c r="F3" s="404"/>
      <c r="G3" s="404"/>
      <c r="H3" s="404"/>
      <c r="I3" s="404"/>
      <c r="J3" s="404"/>
      <c r="K3" s="404"/>
      <c r="L3" s="404"/>
    </row>
    <row r="4" spans="1:13" ht="17.100000000000001" customHeight="1" thickBot="1">
      <c r="A4" s="402"/>
      <c r="C4" s="404"/>
      <c r="D4" s="404"/>
      <c r="E4" s="404"/>
      <c r="F4" s="404"/>
      <c r="G4" s="404"/>
      <c r="H4" s="404"/>
      <c r="I4" s="404"/>
      <c r="J4" s="404"/>
      <c r="K4" s="404"/>
      <c r="L4" s="404"/>
    </row>
    <row r="5" spans="1:13" s="408" customFormat="1" ht="17.100000000000001" customHeight="1">
      <c r="A5" s="405"/>
      <c r="B5" s="406"/>
      <c r="C5" s="407"/>
      <c r="D5" s="407"/>
      <c r="E5" s="407"/>
      <c r="F5" s="407"/>
      <c r="G5" s="407"/>
      <c r="H5" s="407"/>
      <c r="I5" s="407"/>
      <c r="J5" s="407"/>
      <c r="K5" s="407"/>
      <c r="L5" s="407"/>
      <c r="M5" s="491" t="s">
        <v>17</v>
      </c>
    </row>
    <row r="6" spans="1:13" s="408" customFormat="1" ht="17.100000000000001" customHeight="1">
      <c r="A6" s="409"/>
      <c r="B6" s="410"/>
      <c r="C6" s="410" t="s">
        <v>700</v>
      </c>
      <c r="D6" s="410" t="s">
        <v>701</v>
      </c>
      <c r="E6" s="410" t="s">
        <v>702</v>
      </c>
      <c r="F6" s="410" t="s">
        <v>703</v>
      </c>
      <c r="G6" s="410" t="s">
        <v>704</v>
      </c>
      <c r="H6" s="410" t="s">
        <v>705</v>
      </c>
      <c r="I6" s="410" t="s">
        <v>706</v>
      </c>
      <c r="J6" s="410" t="s">
        <v>707</v>
      </c>
      <c r="K6" s="410" t="s">
        <v>708</v>
      </c>
      <c r="L6" s="410" t="s">
        <v>709</v>
      </c>
      <c r="M6" s="492" t="s">
        <v>384</v>
      </c>
    </row>
    <row r="7" spans="1:13" s="408" customFormat="1" ht="17.100000000000001" customHeight="1">
      <c r="A7" s="1196" t="s">
        <v>23</v>
      </c>
      <c r="B7" s="410" t="s">
        <v>710</v>
      </c>
      <c r="C7" s="410" t="s">
        <v>711</v>
      </c>
      <c r="D7" s="410" t="s">
        <v>712</v>
      </c>
      <c r="E7" s="410" t="s">
        <v>713</v>
      </c>
      <c r="F7" s="410" t="s">
        <v>714</v>
      </c>
      <c r="G7" s="410" t="s">
        <v>715</v>
      </c>
      <c r="H7" s="410" t="s">
        <v>716</v>
      </c>
      <c r="I7" s="410" t="s">
        <v>717</v>
      </c>
      <c r="J7" s="410" t="s">
        <v>718</v>
      </c>
      <c r="K7" s="410" t="s">
        <v>719</v>
      </c>
      <c r="L7" s="410" t="s">
        <v>720</v>
      </c>
      <c r="M7" s="492" t="s">
        <v>22</v>
      </c>
    </row>
    <row r="8" spans="1:13" s="408" customFormat="1" ht="17.100000000000001" customHeight="1">
      <c r="A8" s="392"/>
      <c r="B8" s="412"/>
      <c r="C8" s="412"/>
      <c r="D8" s="412"/>
      <c r="E8" s="412"/>
      <c r="F8" s="412"/>
      <c r="G8" s="412"/>
      <c r="H8" s="412"/>
      <c r="I8" s="412"/>
      <c r="J8" s="412"/>
      <c r="K8" s="412"/>
      <c r="L8" s="412"/>
      <c r="M8" s="493"/>
    </row>
    <row r="9" spans="1:13" s="413" customFormat="1" ht="17.100000000000001" customHeight="1">
      <c r="A9" s="358" t="s">
        <v>422</v>
      </c>
      <c r="B9" s="357">
        <v>4900303.8440000005</v>
      </c>
      <c r="C9" s="357">
        <v>11510593.685000001</v>
      </c>
      <c r="D9" s="357">
        <v>20089712.895999998</v>
      </c>
      <c r="E9" s="357">
        <v>25582836.613000002</v>
      </c>
      <c r="F9" s="357">
        <v>31751775.151000001</v>
      </c>
      <c r="G9" s="357">
        <v>37417878.581</v>
      </c>
      <c r="H9" s="357">
        <v>70490656.407999992</v>
      </c>
      <c r="I9" s="357">
        <v>60401416.740999997</v>
      </c>
      <c r="J9" s="357">
        <v>119611504.87279999</v>
      </c>
      <c r="K9" s="357">
        <v>95459026.106000006</v>
      </c>
      <c r="L9" s="357">
        <v>249803511.66416001</v>
      </c>
      <c r="M9" s="489">
        <f>SUM(B9:L9)</f>
        <v>727019216.56195998</v>
      </c>
    </row>
    <row r="10" spans="1:13" s="408" customFormat="1" ht="17.100000000000001" customHeight="1">
      <c r="A10" s="391" t="s">
        <v>426</v>
      </c>
      <c r="B10" s="414">
        <v>8358096.4019999988</v>
      </c>
      <c r="C10" s="414">
        <v>20494883.272999998</v>
      </c>
      <c r="D10" s="414">
        <v>31558887.552999999</v>
      </c>
      <c r="E10" s="414">
        <v>44008391.681999996</v>
      </c>
      <c r="F10" s="414">
        <v>56574014.916000001</v>
      </c>
      <c r="G10" s="414">
        <v>71669348.292999998</v>
      </c>
      <c r="H10" s="414">
        <v>157086048.44499999</v>
      </c>
      <c r="I10" s="414">
        <v>168471189.072</v>
      </c>
      <c r="J10" s="414">
        <v>397519949.83600003</v>
      </c>
      <c r="K10" s="414">
        <v>372290636.54299998</v>
      </c>
      <c r="L10" s="414">
        <v>4467903253.7679996</v>
      </c>
      <c r="M10" s="488">
        <f>SUM(B10:L10)</f>
        <v>5795934699.783</v>
      </c>
    </row>
    <row r="11" spans="1:13" s="408" customFormat="1" ht="17.100000000000001" customHeight="1">
      <c r="A11" s="391" t="s">
        <v>430</v>
      </c>
      <c r="B11" s="414">
        <v>1622132.175</v>
      </c>
      <c r="C11" s="414">
        <v>4120820.5999999996</v>
      </c>
      <c r="D11" s="414">
        <v>6985068.4289999995</v>
      </c>
      <c r="E11" s="414">
        <v>9644035.1239999998</v>
      </c>
      <c r="F11" s="414">
        <v>12381788.527000001</v>
      </c>
      <c r="G11" s="414">
        <v>13095256.856000001</v>
      </c>
      <c r="H11" s="414">
        <v>25711817.557</v>
      </c>
      <c r="I11" s="414">
        <v>26150476.568999998</v>
      </c>
      <c r="J11" s="414">
        <v>56328931.001000002</v>
      </c>
      <c r="K11" s="414">
        <v>54201420.239</v>
      </c>
      <c r="L11" s="414">
        <v>122554851.06900001</v>
      </c>
      <c r="M11" s="488">
        <f>SUM(B11:L11)</f>
        <v>332796598.14600003</v>
      </c>
    </row>
    <row r="12" spans="1:13" s="408" customFormat="1" ht="17.100000000000001" customHeight="1">
      <c r="A12" s="391" t="s">
        <v>434</v>
      </c>
      <c r="B12" s="414">
        <v>825412.54</v>
      </c>
      <c r="C12" s="414">
        <v>2895107.99</v>
      </c>
      <c r="D12" s="414">
        <v>5374700.0779999997</v>
      </c>
      <c r="E12" s="414">
        <v>7148698.3099999996</v>
      </c>
      <c r="F12" s="414">
        <v>9661507.1569999997</v>
      </c>
      <c r="G12" s="414">
        <v>10900389.734999999</v>
      </c>
      <c r="H12" s="414">
        <v>25193156.375</v>
      </c>
      <c r="I12" s="414">
        <v>24763978.215999998</v>
      </c>
      <c r="J12" s="414">
        <v>53825219.208999999</v>
      </c>
      <c r="K12" s="414">
        <v>47814807.408</v>
      </c>
      <c r="L12" s="414">
        <v>137856922.55399999</v>
      </c>
      <c r="M12" s="488">
        <f>SUM(B12:L12)</f>
        <v>326259899.57199997</v>
      </c>
    </row>
    <row r="13" spans="1:13" s="408" customFormat="1" ht="17.100000000000001" customHeight="1">
      <c r="A13" s="391" t="s">
        <v>438</v>
      </c>
      <c r="B13" s="414">
        <v>2232849.4279999998</v>
      </c>
      <c r="C13" s="414">
        <v>7059392.3779999996</v>
      </c>
      <c r="D13" s="414">
        <v>12348624.389</v>
      </c>
      <c r="E13" s="414">
        <v>17821325.794</v>
      </c>
      <c r="F13" s="414">
        <v>22625415.879000001</v>
      </c>
      <c r="G13" s="414">
        <v>26079507.035</v>
      </c>
      <c r="H13" s="414">
        <v>56292872.012000002</v>
      </c>
      <c r="I13" s="414">
        <v>54344400.902999997</v>
      </c>
      <c r="J13" s="414">
        <v>119972552.55</v>
      </c>
      <c r="K13" s="414">
        <v>111501374.867</v>
      </c>
      <c r="L13" s="414">
        <v>222350301.722</v>
      </c>
      <c r="M13" s="488">
        <f>SUM(B13:L13)</f>
        <v>652628616.95700002</v>
      </c>
    </row>
    <row r="14" spans="1:13" s="408" customFormat="1" ht="17.100000000000001" customHeight="1">
      <c r="A14" s="391"/>
      <c r="B14" s="414"/>
      <c r="C14" s="414"/>
      <c r="D14" s="414"/>
      <c r="E14" s="414"/>
      <c r="F14" s="414"/>
      <c r="G14" s="414"/>
      <c r="H14" s="414"/>
      <c r="I14" s="414"/>
      <c r="J14" s="414"/>
      <c r="K14" s="414"/>
      <c r="L14" s="414"/>
      <c r="M14" s="488"/>
    </row>
    <row r="15" spans="1:13" s="408" customFormat="1" ht="17.100000000000001" customHeight="1">
      <c r="A15" s="391" t="s">
        <v>442</v>
      </c>
      <c r="B15" s="414">
        <v>1346022.5589999999</v>
      </c>
      <c r="C15" s="414">
        <v>3596363.3850000002</v>
      </c>
      <c r="D15" s="414">
        <v>6803725.0730000008</v>
      </c>
      <c r="E15" s="414">
        <v>9481821.8019999992</v>
      </c>
      <c r="F15" s="414">
        <v>11426725.134</v>
      </c>
      <c r="G15" s="414">
        <v>11817842.628</v>
      </c>
      <c r="H15" s="414">
        <v>27969768.088</v>
      </c>
      <c r="I15" s="414">
        <v>25981444.524</v>
      </c>
      <c r="J15" s="414">
        <v>59808113.019000001</v>
      </c>
      <c r="K15" s="414">
        <v>53908257.783</v>
      </c>
      <c r="L15" s="414">
        <v>120902344.91</v>
      </c>
      <c r="M15" s="488">
        <f>SUM(B15:L15)</f>
        <v>333042428.90499997</v>
      </c>
    </row>
    <row r="16" spans="1:13" s="408" customFormat="1" ht="17.100000000000001" customHeight="1">
      <c r="A16" s="391" t="s">
        <v>446</v>
      </c>
      <c r="B16" s="414">
        <v>15424171.7183</v>
      </c>
      <c r="C16" s="414">
        <v>39885042.357900001</v>
      </c>
      <c r="D16" s="414">
        <v>61789156.393199995</v>
      </c>
      <c r="E16" s="414">
        <v>82620437.247999996</v>
      </c>
      <c r="F16" s="414">
        <v>102596254.987</v>
      </c>
      <c r="G16" s="414">
        <v>122963851.544</v>
      </c>
      <c r="H16" s="414">
        <v>293964884.46720004</v>
      </c>
      <c r="I16" s="414">
        <v>375648121.03799999</v>
      </c>
      <c r="J16" s="414">
        <v>1272103621.9000001</v>
      </c>
      <c r="K16" s="414">
        <v>1280188133.1559999</v>
      </c>
      <c r="L16" s="414">
        <v>12237631952.959801</v>
      </c>
      <c r="M16" s="488">
        <f>SUM(B16:L16)</f>
        <v>15884815627.769402</v>
      </c>
    </row>
    <row r="17" spans="1:13" s="408" customFormat="1" ht="17.100000000000001" customHeight="1">
      <c r="A17" s="391" t="s">
        <v>450</v>
      </c>
      <c r="B17" s="414">
        <v>5416425.8900000006</v>
      </c>
      <c r="C17" s="414">
        <v>16155605.739999998</v>
      </c>
      <c r="D17" s="414">
        <v>28622120.528999999</v>
      </c>
      <c r="E17" s="414">
        <v>38038759.131999999</v>
      </c>
      <c r="F17" s="414">
        <v>49226890.685000002</v>
      </c>
      <c r="G17" s="414">
        <v>57178300.093000002</v>
      </c>
      <c r="H17" s="414">
        <v>137969967.80000001</v>
      </c>
      <c r="I17" s="414">
        <v>147014722.43599999</v>
      </c>
      <c r="J17" s="414">
        <v>342330843.62900001</v>
      </c>
      <c r="K17" s="414">
        <v>297531512.01899999</v>
      </c>
      <c r="L17" s="414">
        <v>846530618.7392</v>
      </c>
      <c r="M17" s="488">
        <f>SUM(B17:L17)</f>
        <v>1966015766.6922002</v>
      </c>
    </row>
    <row r="18" spans="1:13" s="408" customFormat="1" ht="17.100000000000001" customHeight="1">
      <c r="A18" s="391" t="s">
        <v>454</v>
      </c>
      <c r="B18" s="414">
        <v>520253.50699999998</v>
      </c>
      <c r="C18" s="414">
        <v>1440257.8290000001</v>
      </c>
      <c r="D18" s="414">
        <v>2581783.8480000002</v>
      </c>
      <c r="E18" s="414">
        <v>3065188.6770000001</v>
      </c>
      <c r="F18" s="414">
        <v>4682327.2039999999</v>
      </c>
      <c r="G18" s="414">
        <v>4659704.3540000003</v>
      </c>
      <c r="H18" s="414">
        <v>8941104.352</v>
      </c>
      <c r="I18" s="414">
        <v>9621763.7980000004</v>
      </c>
      <c r="J18" s="414">
        <v>17296607.162999999</v>
      </c>
      <c r="K18" s="414">
        <v>14908309.739</v>
      </c>
      <c r="L18" s="414">
        <v>50977863.432999998</v>
      </c>
      <c r="M18" s="488">
        <f>SUM(B18:L18)</f>
        <v>118695163.90399998</v>
      </c>
    </row>
    <row r="19" spans="1:13" s="408" customFormat="1" ht="17.100000000000001" customHeight="1">
      <c r="A19" s="391" t="s">
        <v>931</v>
      </c>
      <c r="B19" s="414">
        <v>5996016.1449999996</v>
      </c>
      <c r="C19" s="414">
        <v>17217178.449999999</v>
      </c>
      <c r="D19" s="414">
        <v>29253359.954999998</v>
      </c>
      <c r="E19" s="414">
        <v>39535705.538999997</v>
      </c>
      <c r="F19" s="414">
        <v>49805280.847000003</v>
      </c>
      <c r="G19" s="414">
        <v>57122542.185999997</v>
      </c>
      <c r="H19" s="414">
        <v>128560775.59</v>
      </c>
      <c r="I19" s="414">
        <v>128794358.132</v>
      </c>
      <c r="J19" s="414">
        <v>305439852.21499997</v>
      </c>
      <c r="K19" s="414">
        <v>298430102.65399998</v>
      </c>
      <c r="L19" s="414">
        <v>1228487791.8940001</v>
      </c>
      <c r="M19" s="488">
        <f>SUM(B19:L19)</f>
        <v>2288642963.6070004</v>
      </c>
    </row>
    <row r="20" spans="1:13" s="408" customFormat="1" ht="17.100000000000001" customHeight="1">
      <c r="A20" s="391"/>
      <c r="B20" s="414"/>
      <c r="C20" s="414"/>
      <c r="D20" s="414"/>
      <c r="E20" s="414"/>
      <c r="F20" s="414"/>
      <c r="G20" s="414"/>
      <c r="H20" s="414"/>
      <c r="I20" s="414"/>
      <c r="J20" s="414"/>
      <c r="K20" s="414"/>
      <c r="L20" s="414"/>
      <c r="M20" s="488"/>
    </row>
    <row r="21" spans="1:13" s="408" customFormat="1" ht="17.100000000000001" customHeight="1">
      <c r="A21" s="391" t="s">
        <v>462</v>
      </c>
      <c r="B21" s="414">
        <v>417985.52</v>
      </c>
      <c r="C21" s="414">
        <v>1308134.827</v>
      </c>
      <c r="D21" s="414">
        <v>2348710.0720000002</v>
      </c>
      <c r="E21" s="414">
        <v>3212327.3739999998</v>
      </c>
      <c r="F21" s="414">
        <v>3774885.8530000001</v>
      </c>
      <c r="G21" s="414">
        <v>4207480.2819999997</v>
      </c>
      <c r="H21" s="414">
        <v>9857993.3839999996</v>
      </c>
      <c r="I21" s="414">
        <v>11295228.734000001</v>
      </c>
      <c r="J21" s="414">
        <v>24617482.405999999</v>
      </c>
      <c r="K21" s="414">
        <v>18388175.313999999</v>
      </c>
      <c r="L21" s="414">
        <v>37172084.270000003</v>
      </c>
      <c r="M21" s="488">
        <f>SUM(B21:L21)</f>
        <v>116600488.03600001</v>
      </c>
    </row>
    <row r="22" spans="1:13" s="408" customFormat="1" ht="17.100000000000001" customHeight="1">
      <c r="A22" s="391" t="s">
        <v>466</v>
      </c>
      <c r="B22" s="414">
        <v>2480740.59</v>
      </c>
      <c r="C22" s="414">
        <v>6818825.8480000002</v>
      </c>
      <c r="D22" s="414">
        <v>10443928.557</v>
      </c>
      <c r="E22" s="414">
        <v>14547715.526000001</v>
      </c>
      <c r="F22" s="414">
        <v>18764149.587000001</v>
      </c>
      <c r="G22" s="414">
        <v>21562599.493999999</v>
      </c>
      <c r="H22" s="414">
        <v>52256589.699000001</v>
      </c>
      <c r="I22" s="414">
        <v>52537363.971000001</v>
      </c>
      <c r="J22" s="414">
        <v>131785796.301</v>
      </c>
      <c r="K22" s="414">
        <v>136254947.442</v>
      </c>
      <c r="L22" s="414">
        <v>623156968.676</v>
      </c>
      <c r="M22" s="488">
        <f>SUM(B22:L22)</f>
        <v>1070609625.691</v>
      </c>
    </row>
    <row r="23" spans="1:13" s="408" customFormat="1" ht="17.100000000000001" customHeight="1">
      <c r="A23" s="391" t="s">
        <v>470</v>
      </c>
      <c r="B23" s="414">
        <v>1217315.246</v>
      </c>
      <c r="C23" s="414">
        <v>3806549.9679999999</v>
      </c>
      <c r="D23" s="414">
        <v>7120166.5459999992</v>
      </c>
      <c r="E23" s="414">
        <v>10409947.707</v>
      </c>
      <c r="F23" s="414">
        <v>11769050.688999999</v>
      </c>
      <c r="G23" s="414">
        <v>12487579.615</v>
      </c>
      <c r="H23" s="414">
        <v>26945239.980999999</v>
      </c>
      <c r="I23" s="414">
        <v>25736265.805</v>
      </c>
      <c r="J23" s="414">
        <v>47721199.213</v>
      </c>
      <c r="K23" s="414">
        <v>33772034.141999997</v>
      </c>
      <c r="L23" s="414">
        <v>87393552.564999998</v>
      </c>
      <c r="M23" s="488">
        <f>SUM(B23:L23)</f>
        <v>268378901.477</v>
      </c>
    </row>
    <row r="24" spans="1:13" s="408" customFormat="1" ht="17.100000000000001" customHeight="1">
      <c r="A24" s="391" t="s">
        <v>474</v>
      </c>
      <c r="B24" s="414">
        <v>1390237.6429999999</v>
      </c>
      <c r="C24" s="414">
        <v>4530214.6109999996</v>
      </c>
      <c r="D24" s="414">
        <v>7919227.5659999996</v>
      </c>
      <c r="E24" s="414">
        <v>10661078.203</v>
      </c>
      <c r="F24" s="414">
        <v>12028880.861</v>
      </c>
      <c r="G24" s="414">
        <v>12329501.895</v>
      </c>
      <c r="H24" s="414">
        <v>23866911.33097</v>
      </c>
      <c r="I24" s="414">
        <v>22661303.395000003</v>
      </c>
      <c r="J24" s="414">
        <v>57860505.887999997</v>
      </c>
      <c r="K24" s="414">
        <v>46874119.615999997</v>
      </c>
      <c r="L24" s="414">
        <v>93159652.504999995</v>
      </c>
      <c r="M24" s="488">
        <f>SUM(B24:L24)</f>
        <v>293281633.51397002</v>
      </c>
    </row>
    <row r="25" spans="1:13" s="408" customFormat="1" ht="17.100000000000001" customHeight="1">
      <c r="A25" s="391" t="s">
        <v>478</v>
      </c>
      <c r="B25" s="414">
        <v>1000391.4429</v>
      </c>
      <c r="C25" s="414">
        <v>3024911.6009999998</v>
      </c>
      <c r="D25" s="414">
        <v>6193751.7179999994</v>
      </c>
      <c r="E25" s="414">
        <v>8911732.7750000004</v>
      </c>
      <c r="F25" s="414">
        <v>11670640.658</v>
      </c>
      <c r="G25" s="414">
        <v>12942670.075999999</v>
      </c>
      <c r="H25" s="414">
        <v>29275264.737</v>
      </c>
      <c r="I25" s="414">
        <v>26974888.019000001</v>
      </c>
      <c r="J25" s="414">
        <v>46000466.093999997</v>
      </c>
      <c r="K25" s="414">
        <v>35199174.994000003</v>
      </c>
      <c r="L25" s="414">
        <v>87091019.407000005</v>
      </c>
      <c r="M25" s="488">
        <f>SUM(B25:L25)</f>
        <v>268284911.5219</v>
      </c>
    </row>
    <row r="26" spans="1:13" s="408" customFormat="1" ht="17.100000000000001" customHeight="1">
      <c r="A26" s="391"/>
      <c r="B26" s="414"/>
      <c r="C26" s="414"/>
      <c r="D26" s="414"/>
      <c r="E26" s="414"/>
      <c r="F26" s="414"/>
      <c r="G26" s="414"/>
      <c r="H26" s="414"/>
      <c r="I26" s="414"/>
      <c r="J26" s="414"/>
      <c r="K26" s="414"/>
      <c r="L26" s="414"/>
      <c r="M26" s="488"/>
    </row>
    <row r="27" spans="1:13" s="408" customFormat="1" ht="17.100000000000001" customHeight="1">
      <c r="A27" s="391" t="s">
        <v>482</v>
      </c>
      <c r="B27" s="414">
        <v>4539465.0439999998</v>
      </c>
      <c r="C27" s="414">
        <v>13204694.359999999</v>
      </c>
      <c r="D27" s="414">
        <v>23970818.616</v>
      </c>
      <c r="E27" s="414">
        <v>31418194.208000001</v>
      </c>
      <c r="F27" s="414">
        <v>39805959.670000002</v>
      </c>
      <c r="G27" s="414">
        <v>45872182.792000003</v>
      </c>
      <c r="H27" s="414">
        <v>99202253.422000006</v>
      </c>
      <c r="I27" s="414">
        <v>95744829.319000006</v>
      </c>
      <c r="J27" s="414">
        <v>202028463.414</v>
      </c>
      <c r="K27" s="414">
        <v>178590323.65400001</v>
      </c>
      <c r="L27" s="414">
        <v>460595286.44400001</v>
      </c>
      <c r="M27" s="488">
        <f>SUM(B27:L27)</f>
        <v>1194972470.9430001</v>
      </c>
    </row>
    <row r="28" spans="1:13" s="408" customFormat="1" ht="17.100000000000001" customHeight="1">
      <c r="A28" s="391" t="s">
        <v>484</v>
      </c>
      <c r="B28" s="414">
        <v>1924058.6170000001</v>
      </c>
      <c r="C28" s="414">
        <v>6269996.932000001</v>
      </c>
      <c r="D28" s="414">
        <v>11484934.558</v>
      </c>
      <c r="E28" s="414">
        <v>15885331.73</v>
      </c>
      <c r="F28" s="414">
        <v>19979721.798</v>
      </c>
      <c r="G28" s="414">
        <v>22630710.282000002</v>
      </c>
      <c r="H28" s="414">
        <v>52858512.959000006</v>
      </c>
      <c r="I28" s="414">
        <v>58050112.586999997</v>
      </c>
      <c r="J28" s="414">
        <v>129650953.676</v>
      </c>
      <c r="K28" s="414">
        <v>120403116.04099999</v>
      </c>
      <c r="L28" s="414">
        <v>308837147.301</v>
      </c>
      <c r="M28" s="488">
        <f>SUM(B28:L28)</f>
        <v>747974596.48099995</v>
      </c>
    </row>
    <row r="29" spans="1:13" s="408" customFormat="1" ht="17.100000000000001" customHeight="1">
      <c r="A29" s="391" t="s">
        <v>487</v>
      </c>
      <c r="B29" s="414">
        <v>2451196.0299999998</v>
      </c>
      <c r="C29" s="414">
        <v>7732502.4969999995</v>
      </c>
      <c r="D29" s="414">
        <v>12938759.505000001</v>
      </c>
      <c r="E29" s="414">
        <v>18527564.342999998</v>
      </c>
      <c r="F29" s="414">
        <v>21772686.732000001</v>
      </c>
      <c r="G29" s="414">
        <v>24761134.795000002</v>
      </c>
      <c r="H29" s="414">
        <v>52056455.269999996</v>
      </c>
      <c r="I29" s="414">
        <v>48141751.033</v>
      </c>
      <c r="J29" s="414">
        <v>107335317.072</v>
      </c>
      <c r="K29" s="414">
        <v>75518141.106999993</v>
      </c>
      <c r="L29" s="414">
        <v>128852239.90000001</v>
      </c>
      <c r="M29" s="488">
        <f>SUM(B29:L29)</f>
        <v>500087748.28399992</v>
      </c>
    </row>
    <row r="30" spans="1:13" s="408" customFormat="1" ht="17.100000000000001" customHeight="1">
      <c r="A30" s="391" t="s">
        <v>490</v>
      </c>
      <c r="B30" s="414">
        <v>513118.64</v>
      </c>
      <c r="C30" s="414">
        <v>1650891.79</v>
      </c>
      <c r="D30" s="414">
        <v>3174285.8169999998</v>
      </c>
      <c r="E30" s="414">
        <v>4470050.4419999998</v>
      </c>
      <c r="F30" s="414">
        <v>5304345.9960000003</v>
      </c>
      <c r="G30" s="414">
        <v>7642004.7290000003</v>
      </c>
      <c r="H30" s="414">
        <v>15071973.944</v>
      </c>
      <c r="I30" s="414">
        <v>13110073.872</v>
      </c>
      <c r="J30" s="414">
        <v>30410232.795000002</v>
      </c>
      <c r="K30" s="414">
        <v>26396953.477000002</v>
      </c>
      <c r="L30" s="414">
        <v>78253534.067000002</v>
      </c>
      <c r="M30" s="488">
        <f>SUM(B30:L30)</f>
        <v>185997465.56900001</v>
      </c>
    </row>
    <row r="31" spans="1:13" s="408" customFormat="1" ht="17.100000000000001" customHeight="1">
      <c r="A31" s="391" t="s">
        <v>493</v>
      </c>
      <c r="B31" s="414">
        <v>919385.24699999997</v>
      </c>
      <c r="C31" s="414">
        <v>3020441.5329999998</v>
      </c>
      <c r="D31" s="414">
        <v>5628709.4550000001</v>
      </c>
      <c r="E31" s="414">
        <v>7324718.1950000003</v>
      </c>
      <c r="F31" s="414">
        <v>9375351.6229999997</v>
      </c>
      <c r="G31" s="414">
        <v>9952727.398</v>
      </c>
      <c r="H31" s="414">
        <v>23416499.857000001</v>
      </c>
      <c r="I31" s="414">
        <v>19638708.030000001</v>
      </c>
      <c r="J31" s="414">
        <v>37095516.472000003</v>
      </c>
      <c r="K31" s="414">
        <v>31184489.291000001</v>
      </c>
      <c r="L31" s="414">
        <v>70731039.581</v>
      </c>
      <c r="M31" s="488">
        <f>SUM(B31:L31)</f>
        <v>218287586.68200001</v>
      </c>
    </row>
    <row r="32" spans="1:13" s="408" customFormat="1" ht="17.100000000000001" customHeight="1">
      <c r="A32" s="391"/>
      <c r="B32" s="414"/>
      <c r="C32" s="414"/>
      <c r="D32" s="414"/>
      <c r="E32" s="414"/>
      <c r="F32" s="414"/>
      <c r="G32" s="414"/>
      <c r="H32" s="414"/>
      <c r="I32" s="414"/>
      <c r="J32" s="414"/>
      <c r="K32" s="414"/>
      <c r="L32" s="414"/>
      <c r="M32" s="488"/>
    </row>
    <row r="33" spans="1:13" s="408" customFormat="1" ht="17.100000000000001" customHeight="1">
      <c r="A33" s="391" t="s">
        <v>495</v>
      </c>
      <c r="B33" s="414">
        <v>24168299.042199999</v>
      </c>
      <c r="C33" s="414">
        <v>68359157.362000003</v>
      </c>
      <c r="D33" s="414">
        <v>114964710.961</v>
      </c>
      <c r="E33" s="414">
        <v>153340011.09599999</v>
      </c>
      <c r="F33" s="414">
        <v>192737280.13600001</v>
      </c>
      <c r="G33" s="414">
        <v>228137127.37580001</v>
      </c>
      <c r="H33" s="414">
        <v>550639579.75100005</v>
      </c>
      <c r="I33" s="414">
        <v>599905674.38599992</v>
      </c>
      <c r="J33" s="414">
        <v>1409651731.6570001</v>
      </c>
      <c r="K33" s="414">
        <v>1381290626.6659999</v>
      </c>
      <c r="L33" s="414">
        <v>7164147980.7130003</v>
      </c>
      <c r="M33" s="488">
        <f>SUM(B33:L33)</f>
        <v>11887342179.146</v>
      </c>
    </row>
    <row r="34" spans="1:13" s="408" customFormat="1" ht="17.100000000000001" customHeight="1">
      <c r="A34" s="391" t="s">
        <v>498</v>
      </c>
      <c r="B34" s="414">
        <v>1183400.0929999999</v>
      </c>
      <c r="C34" s="414">
        <v>3161438.6540000001</v>
      </c>
      <c r="D34" s="414">
        <v>4832964.5860000001</v>
      </c>
      <c r="E34" s="414">
        <v>6398540.4009999996</v>
      </c>
      <c r="F34" s="414">
        <v>7746745.4749999996</v>
      </c>
      <c r="G34" s="414">
        <v>9371005.2290000003</v>
      </c>
      <c r="H34" s="414">
        <v>20642174.222999997</v>
      </c>
      <c r="I34" s="414">
        <v>23346630.696000002</v>
      </c>
      <c r="J34" s="414">
        <v>60118138.952</v>
      </c>
      <c r="K34" s="414">
        <v>58270873.807999998</v>
      </c>
      <c r="L34" s="414">
        <v>421415716.87400001</v>
      </c>
      <c r="M34" s="488">
        <f>SUM(B34:L34)</f>
        <v>616487628.99099994</v>
      </c>
    </row>
    <row r="35" spans="1:13" s="408" customFormat="1" ht="17.100000000000001" customHeight="1">
      <c r="A35" s="391" t="s">
        <v>500</v>
      </c>
      <c r="B35" s="414">
        <v>371004.90599999996</v>
      </c>
      <c r="C35" s="414">
        <v>937282.14199999999</v>
      </c>
      <c r="D35" s="414">
        <v>2160733.4929999998</v>
      </c>
      <c r="E35" s="414">
        <v>3189415.8790000002</v>
      </c>
      <c r="F35" s="414">
        <v>3425514</v>
      </c>
      <c r="G35" s="414">
        <v>3778852.59</v>
      </c>
      <c r="H35" s="414">
        <v>9992330</v>
      </c>
      <c r="I35" s="414">
        <v>9031853</v>
      </c>
      <c r="J35" s="414">
        <v>19327041.239999998</v>
      </c>
      <c r="K35" s="414">
        <v>17864389.842</v>
      </c>
      <c r="L35" s="414">
        <v>32723495.989</v>
      </c>
      <c r="M35" s="488">
        <f>SUM(B35:L35)</f>
        <v>102801913.081</v>
      </c>
    </row>
    <row r="36" spans="1:13" s="408" customFormat="1" ht="17.100000000000001" customHeight="1">
      <c r="A36" s="391" t="s">
        <v>503</v>
      </c>
      <c r="B36" s="414">
        <v>3313260.2230000002</v>
      </c>
      <c r="C36" s="414">
        <v>9745178.5429999996</v>
      </c>
      <c r="D36" s="414">
        <v>18167836.745000001</v>
      </c>
      <c r="E36" s="414">
        <v>25112198.802999999</v>
      </c>
      <c r="F36" s="414">
        <v>31011700.403000001</v>
      </c>
      <c r="G36" s="414">
        <v>34813444.960000001</v>
      </c>
      <c r="H36" s="414">
        <v>78312526.667999998</v>
      </c>
      <c r="I36" s="414">
        <v>82411497.997999996</v>
      </c>
      <c r="J36" s="414">
        <v>193697988.377</v>
      </c>
      <c r="K36" s="414">
        <v>193380944.01300001</v>
      </c>
      <c r="L36" s="414">
        <v>799879359.60800004</v>
      </c>
      <c r="M36" s="488">
        <f>SUM(B36:L36)</f>
        <v>1469845936.3410001</v>
      </c>
    </row>
    <row r="37" spans="1:13" s="408" customFormat="1" ht="17.100000000000001" customHeight="1">
      <c r="A37" s="391" t="s">
        <v>506</v>
      </c>
      <c r="B37" s="414">
        <v>624441.59400000004</v>
      </c>
      <c r="C37" s="414">
        <v>2129157.9879999999</v>
      </c>
      <c r="D37" s="414">
        <v>4619300.0410000002</v>
      </c>
      <c r="E37" s="414">
        <v>5466047.6749999998</v>
      </c>
      <c r="F37" s="414">
        <v>6974728.2939999998</v>
      </c>
      <c r="G37" s="414">
        <v>8677735.2050000001</v>
      </c>
      <c r="H37" s="414">
        <v>20289787.208000001</v>
      </c>
      <c r="I37" s="414">
        <v>18243922</v>
      </c>
      <c r="J37" s="414">
        <v>32151828.260000002</v>
      </c>
      <c r="K37" s="414">
        <v>23867868.118999999</v>
      </c>
      <c r="L37" s="414">
        <v>52775051.119000003</v>
      </c>
      <c r="M37" s="488">
        <f>SUM(B37:L37)</f>
        <v>175819867.50300002</v>
      </c>
    </row>
    <row r="38" spans="1:13" s="408" customFormat="1" ht="17.100000000000001" customHeight="1">
      <c r="A38" s="391"/>
      <c r="B38" s="414"/>
      <c r="C38" s="414"/>
      <c r="D38" s="414"/>
      <c r="E38" s="414"/>
      <c r="F38" s="414"/>
      <c r="G38" s="414"/>
      <c r="H38" s="414"/>
      <c r="I38" s="414"/>
      <c r="J38" s="414"/>
      <c r="K38" s="414"/>
      <c r="L38" s="414"/>
      <c r="M38" s="488"/>
    </row>
    <row r="39" spans="1:13" s="408" customFormat="1" ht="17.100000000000001" customHeight="1">
      <c r="A39" s="391" t="s">
        <v>509</v>
      </c>
      <c r="B39" s="414">
        <v>1045096.955</v>
      </c>
      <c r="C39" s="414">
        <v>3166054.1529999999</v>
      </c>
      <c r="D39" s="414">
        <v>5056329.8559999997</v>
      </c>
      <c r="E39" s="414">
        <v>7659459.7350000003</v>
      </c>
      <c r="F39" s="414">
        <v>7595041.8039999995</v>
      </c>
      <c r="G39" s="414">
        <v>9296772.9450000003</v>
      </c>
      <c r="H39" s="414">
        <v>17677785.986000001</v>
      </c>
      <c r="I39" s="414">
        <v>16232425.442</v>
      </c>
      <c r="J39" s="414">
        <v>40132561.767999999</v>
      </c>
      <c r="K39" s="414">
        <v>30359088.999000002</v>
      </c>
      <c r="L39" s="414">
        <v>52241427.471000001</v>
      </c>
      <c r="M39" s="488">
        <f>SUM(B39:L39)</f>
        <v>190462045.11400002</v>
      </c>
    </row>
    <row r="40" spans="1:13" s="408" customFormat="1" ht="17.100000000000001" customHeight="1">
      <c r="A40" s="391" t="s">
        <v>512</v>
      </c>
      <c r="B40" s="414">
        <v>1749420.0350000001</v>
      </c>
      <c r="C40" s="414">
        <v>5743903.4110000003</v>
      </c>
      <c r="D40" s="414">
        <v>10388316.372</v>
      </c>
      <c r="E40" s="414">
        <v>14829707.081</v>
      </c>
      <c r="F40" s="414">
        <v>17869816.851</v>
      </c>
      <c r="G40" s="414">
        <v>22070352.838</v>
      </c>
      <c r="H40" s="414">
        <v>53211638.108999997</v>
      </c>
      <c r="I40" s="414">
        <v>51353640.153999999</v>
      </c>
      <c r="J40" s="414">
        <v>114192005.022</v>
      </c>
      <c r="K40" s="414">
        <v>100036988.492</v>
      </c>
      <c r="L40" s="414">
        <v>232372219.28799999</v>
      </c>
      <c r="M40" s="488">
        <f>SUM(B40:L40)</f>
        <v>623818007.653</v>
      </c>
    </row>
    <row r="41" spans="1:13" s="408" customFormat="1" ht="17.100000000000001" customHeight="1">
      <c r="A41" s="391" t="s">
        <v>515</v>
      </c>
      <c r="B41" s="414">
        <v>718814.79954000004</v>
      </c>
      <c r="C41" s="414">
        <v>2740465.7910000002</v>
      </c>
      <c r="D41" s="414">
        <v>5028928.5049999999</v>
      </c>
      <c r="E41" s="414">
        <v>7632272.5769999996</v>
      </c>
      <c r="F41" s="414">
        <v>9015300.2139999997</v>
      </c>
      <c r="G41" s="414">
        <v>9776880.1170000006</v>
      </c>
      <c r="H41" s="414">
        <v>20865302.924000002</v>
      </c>
      <c r="I41" s="414">
        <v>20689653.354000002</v>
      </c>
      <c r="J41" s="414">
        <v>43533399.946000002</v>
      </c>
      <c r="K41" s="414">
        <v>33908138.640000001</v>
      </c>
      <c r="L41" s="414">
        <v>96742105.018000007</v>
      </c>
      <c r="M41" s="488">
        <f>SUM(B41:L41)</f>
        <v>250651261.88554001</v>
      </c>
    </row>
    <row r="42" spans="1:13" s="408" customFormat="1" ht="17.100000000000001" customHeight="1">
      <c r="A42" s="392" t="s">
        <v>932</v>
      </c>
      <c r="B42" s="414">
        <v>78488092.396870002</v>
      </c>
      <c r="C42" s="414">
        <v>201042707.01030001</v>
      </c>
      <c r="D42" s="414">
        <v>325451316.75800002</v>
      </c>
      <c r="E42" s="414">
        <v>405032285.82099998</v>
      </c>
      <c r="F42" s="414">
        <v>494280040.50120002</v>
      </c>
      <c r="G42" s="414">
        <v>566282790.50399995</v>
      </c>
      <c r="H42" s="414">
        <v>1288608454.151</v>
      </c>
      <c r="I42" s="414">
        <v>1443824678.4029999</v>
      </c>
      <c r="J42" s="414">
        <v>4072608779.2360001</v>
      </c>
      <c r="K42" s="414">
        <v>4340651970.7700005</v>
      </c>
      <c r="L42" s="414">
        <v>52750116052.541</v>
      </c>
      <c r="M42" s="488">
        <f>SUM(B42:L42)</f>
        <v>65966387168.092369</v>
      </c>
    </row>
    <row r="43" spans="1:13" s="408" customFormat="1" ht="17.100000000000001" customHeight="1">
      <c r="A43" s="392" t="s">
        <v>521</v>
      </c>
      <c r="B43" s="415">
        <v>5035759.7120000003</v>
      </c>
      <c r="C43" s="415">
        <v>13202290.513999999</v>
      </c>
      <c r="D43" s="415">
        <v>20851445.739</v>
      </c>
      <c r="E43" s="415">
        <v>27769671.443</v>
      </c>
      <c r="F43" s="415">
        <v>33782275.736000001</v>
      </c>
      <c r="G43" s="415">
        <v>40257115.325000003</v>
      </c>
      <c r="H43" s="415">
        <v>91453577.630999997</v>
      </c>
      <c r="I43" s="415">
        <v>103185192.427</v>
      </c>
      <c r="J43" s="415">
        <v>271424381.43599999</v>
      </c>
      <c r="K43" s="415">
        <v>279531026.20899999</v>
      </c>
      <c r="L43" s="415">
        <v>2486735772.6149998</v>
      </c>
      <c r="M43" s="488">
        <f>SUM(B43:L43)</f>
        <v>3373228508.7869997</v>
      </c>
    </row>
    <row r="44" spans="1:13" ht="18">
      <c r="A44" s="416" t="s">
        <v>721</v>
      </c>
      <c r="B44" s="417"/>
      <c r="C44" s="417"/>
      <c r="D44" s="417"/>
      <c r="E44" s="417"/>
      <c r="F44" s="417"/>
      <c r="G44" s="417"/>
      <c r="H44" s="417"/>
      <c r="I44" s="417"/>
      <c r="J44" s="417"/>
      <c r="K44" s="417"/>
      <c r="L44" s="417"/>
      <c r="M44" s="494"/>
    </row>
    <row r="45" spans="1:13" ht="17.100000000000001" customHeight="1">
      <c r="A45" s="402" t="s">
        <v>699</v>
      </c>
      <c r="B45" s="401"/>
      <c r="C45" s="401"/>
      <c r="D45" s="401"/>
      <c r="E45" s="401"/>
      <c r="F45" s="401"/>
      <c r="G45" s="401"/>
      <c r="H45" s="401"/>
      <c r="I45" s="401"/>
      <c r="J45" s="401"/>
      <c r="K45" s="401"/>
      <c r="L45" s="401"/>
    </row>
    <row r="46" spans="1:13" ht="17.100000000000001" customHeight="1">
      <c r="A46" s="403" t="str">
        <f>A3</f>
        <v>Taxable Year 2018</v>
      </c>
      <c r="B46" s="401"/>
      <c r="C46" s="401"/>
      <c r="D46" s="401"/>
      <c r="E46" s="401"/>
      <c r="F46" s="401"/>
      <c r="G46" s="401"/>
      <c r="H46" s="401"/>
      <c r="I46" s="401"/>
      <c r="J46" s="401"/>
      <c r="K46" s="401"/>
      <c r="L46" s="401"/>
    </row>
    <row r="47" spans="1:13" ht="17.100000000000001" customHeight="1" thickBot="1">
      <c r="B47" s="418">
        <f>SUM(B9:B43)</f>
        <v>180193167.98480999</v>
      </c>
      <c r="C47" s="418">
        <f t="shared" ref="C47:K47" si="0">SUM(C9:C43)</f>
        <v>485970045.22320014</v>
      </c>
      <c r="D47" s="418">
        <f t="shared" si="0"/>
        <v>808152314.60919988</v>
      </c>
      <c r="E47" s="418">
        <f t="shared" si="0"/>
        <v>1058745470.9349998</v>
      </c>
      <c r="F47" s="418">
        <f t="shared" si="0"/>
        <v>1309416097.3682001</v>
      </c>
      <c r="G47" s="418">
        <f t="shared" si="0"/>
        <v>1519755289.7517998</v>
      </c>
      <c r="H47" s="418">
        <f t="shared" si="0"/>
        <v>3468681902.3291702</v>
      </c>
      <c r="I47" s="418">
        <f t="shared" si="0"/>
        <v>3763307564.0539994</v>
      </c>
      <c r="J47" s="418">
        <f t="shared" si="0"/>
        <v>9815580984.6198006</v>
      </c>
      <c r="K47" s="418">
        <f t="shared" si="0"/>
        <v>9787976971.1499996</v>
      </c>
      <c r="L47" s="418">
        <f>SUM(L9:L43)</f>
        <v>85749391118.665176</v>
      </c>
      <c r="M47" s="530">
        <f>SUM(M9:M43)</f>
        <v>117947170926.69035</v>
      </c>
    </row>
    <row r="48" spans="1:13" s="408" customFormat="1" ht="17.100000000000001" customHeight="1">
      <c r="A48" s="405"/>
      <c r="B48" s="419"/>
      <c r="C48" s="407"/>
      <c r="D48" s="407"/>
      <c r="E48" s="407"/>
      <c r="F48" s="407"/>
      <c r="G48" s="407"/>
      <c r="H48" s="407"/>
      <c r="I48" s="407"/>
      <c r="J48" s="407"/>
      <c r="K48" s="407"/>
      <c r="L48" s="407"/>
      <c r="M48" s="491" t="s">
        <v>17</v>
      </c>
    </row>
    <row r="49" spans="1:13" s="408" customFormat="1" ht="17.100000000000001" customHeight="1">
      <c r="A49" s="409"/>
      <c r="B49" s="410"/>
      <c r="C49" s="410" t="s">
        <v>700</v>
      </c>
      <c r="D49" s="410" t="s">
        <v>701</v>
      </c>
      <c r="E49" s="410" t="s">
        <v>702</v>
      </c>
      <c r="F49" s="410" t="s">
        <v>703</v>
      </c>
      <c r="G49" s="410" t="s">
        <v>704</v>
      </c>
      <c r="H49" s="410" t="s">
        <v>705</v>
      </c>
      <c r="I49" s="410" t="s">
        <v>706</v>
      </c>
      <c r="J49" s="410" t="s">
        <v>707</v>
      </c>
      <c r="K49" s="410" t="s">
        <v>708</v>
      </c>
      <c r="L49" s="410" t="s">
        <v>709</v>
      </c>
      <c r="M49" s="492" t="s">
        <v>384</v>
      </c>
    </row>
    <row r="50" spans="1:13" s="408" customFormat="1" ht="17.100000000000001" customHeight="1">
      <c r="A50" s="1196" t="s">
        <v>23</v>
      </c>
      <c r="B50" s="410" t="s">
        <v>710</v>
      </c>
      <c r="C50" s="410" t="s">
        <v>711</v>
      </c>
      <c r="D50" s="410" t="s">
        <v>712</v>
      </c>
      <c r="E50" s="410" t="s">
        <v>713</v>
      </c>
      <c r="F50" s="410" t="s">
        <v>714</v>
      </c>
      <c r="G50" s="410" t="s">
        <v>715</v>
      </c>
      <c r="H50" s="410" t="s">
        <v>716</v>
      </c>
      <c r="I50" s="410" t="s">
        <v>717</v>
      </c>
      <c r="J50" s="410" t="s">
        <v>718</v>
      </c>
      <c r="K50" s="410" t="s">
        <v>719</v>
      </c>
      <c r="L50" s="410" t="s">
        <v>720</v>
      </c>
      <c r="M50" s="492" t="s">
        <v>22</v>
      </c>
    </row>
    <row r="51" spans="1:13" ht="17.100000000000001" customHeight="1">
      <c r="A51" s="420"/>
      <c r="B51" s="421"/>
      <c r="C51" s="421"/>
      <c r="D51" s="421"/>
      <c r="E51" s="421"/>
      <c r="F51" s="421"/>
      <c r="G51" s="421"/>
      <c r="H51" s="421"/>
      <c r="I51" s="421"/>
      <c r="J51" s="421"/>
      <c r="K51" s="421"/>
      <c r="L51" s="421"/>
      <c r="M51" s="495"/>
    </row>
    <row r="52" spans="1:13" s="408" customFormat="1" ht="17.100000000000001" customHeight="1">
      <c r="A52" s="391" t="s">
        <v>524</v>
      </c>
      <c r="B52" s="357">
        <v>1100168.8900000001</v>
      </c>
      <c r="C52" s="357">
        <v>3527197.0829999996</v>
      </c>
      <c r="D52" s="357">
        <v>6464344.3650000002</v>
      </c>
      <c r="E52" s="357">
        <v>8111437.3339999998</v>
      </c>
      <c r="F52" s="357">
        <v>10652968.791999999</v>
      </c>
      <c r="G52" s="357">
        <v>11446878.714</v>
      </c>
      <c r="H52" s="357">
        <v>25886306.612999998</v>
      </c>
      <c r="I52" s="357">
        <v>26484596.987999998</v>
      </c>
      <c r="J52" s="357">
        <v>59876775.938000001</v>
      </c>
      <c r="K52" s="357">
        <v>53331446.553999998</v>
      </c>
      <c r="L52" s="357">
        <v>110103842.17900001</v>
      </c>
      <c r="M52" s="489">
        <f>SUM(B52:L52)</f>
        <v>316985963.44999999</v>
      </c>
    </row>
    <row r="53" spans="1:13" s="408" customFormat="1" ht="17.100000000000001" customHeight="1">
      <c r="A53" s="391" t="s">
        <v>526</v>
      </c>
      <c r="B53" s="414">
        <v>1698378.4409999999</v>
      </c>
      <c r="C53" s="414">
        <v>4857922.415</v>
      </c>
      <c r="D53" s="414">
        <v>7991959.3880000003</v>
      </c>
      <c r="E53" s="414">
        <v>12246134.998</v>
      </c>
      <c r="F53" s="414">
        <v>14446331.671</v>
      </c>
      <c r="G53" s="414">
        <v>19850922.728999998</v>
      </c>
      <c r="H53" s="414">
        <v>43856322.943000004</v>
      </c>
      <c r="I53" s="414">
        <v>48879521.931000002</v>
      </c>
      <c r="J53" s="414">
        <v>112703400.507</v>
      </c>
      <c r="K53" s="414">
        <v>116942890.156</v>
      </c>
      <c r="L53" s="414">
        <v>345457598.97399998</v>
      </c>
      <c r="M53" s="488">
        <f>SUM(B53:L53)</f>
        <v>728931384.153</v>
      </c>
    </row>
    <row r="54" spans="1:13" s="408" customFormat="1" ht="17.100000000000001" customHeight="1">
      <c r="A54" s="391" t="s">
        <v>529</v>
      </c>
      <c r="B54" s="414">
        <v>4094703.156</v>
      </c>
      <c r="C54" s="414">
        <v>12456870.717</v>
      </c>
      <c r="D54" s="414">
        <v>20625036.284000002</v>
      </c>
      <c r="E54" s="414">
        <v>27928099.070999999</v>
      </c>
      <c r="F54" s="414">
        <v>37281416.620999999</v>
      </c>
      <c r="G54" s="414">
        <v>44217776.505999997</v>
      </c>
      <c r="H54" s="414">
        <v>100151583.18599999</v>
      </c>
      <c r="I54" s="414">
        <v>89043402.641000003</v>
      </c>
      <c r="J54" s="414">
        <v>202994784.37900001</v>
      </c>
      <c r="K54" s="414">
        <v>176122007.56900001</v>
      </c>
      <c r="L54" s="414">
        <v>558453221.12399995</v>
      </c>
      <c r="M54" s="488">
        <f>SUM(B54:L54)</f>
        <v>1273368901.2540002</v>
      </c>
    </row>
    <row r="55" spans="1:13" s="408" customFormat="1" ht="17.100000000000001" customHeight="1">
      <c r="A55" s="391" t="s">
        <v>531</v>
      </c>
      <c r="B55" s="414">
        <v>6784736.5260000005</v>
      </c>
      <c r="C55" s="414">
        <v>19168865.487</v>
      </c>
      <c r="D55" s="414">
        <v>31693602.982000001</v>
      </c>
      <c r="E55" s="414">
        <v>42357668.299999997</v>
      </c>
      <c r="F55" s="414">
        <v>50657438.847000003</v>
      </c>
      <c r="G55" s="414">
        <v>63646903.277000003</v>
      </c>
      <c r="H55" s="414">
        <v>141221840.29100001</v>
      </c>
      <c r="I55" s="414">
        <v>151481280.64700001</v>
      </c>
      <c r="J55" s="414">
        <v>382264782.53200001</v>
      </c>
      <c r="K55" s="414">
        <v>371061379.50199997</v>
      </c>
      <c r="L55" s="414">
        <v>1596136480.0550001</v>
      </c>
      <c r="M55" s="488">
        <f>SUM(B55:L55)</f>
        <v>2856474978.4460001</v>
      </c>
    </row>
    <row r="56" spans="1:13" s="408" customFormat="1" ht="17.100000000000001" customHeight="1">
      <c r="A56" s="391" t="s">
        <v>534</v>
      </c>
      <c r="B56" s="414">
        <v>1249253.6340000001</v>
      </c>
      <c r="C56" s="414">
        <v>3954596.0759999994</v>
      </c>
      <c r="D56" s="414">
        <v>6750443.2960000001</v>
      </c>
      <c r="E56" s="414">
        <v>10083697.973999999</v>
      </c>
      <c r="F56" s="414">
        <v>12047384.207</v>
      </c>
      <c r="G56" s="414">
        <v>14088603.054</v>
      </c>
      <c r="H56" s="414">
        <v>27994949.633000001</v>
      </c>
      <c r="I56" s="414">
        <v>31798489.754000001</v>
      </c>
      <c r="J56" s="414">
        <v>67693901.887999997</v>
      </c>
      <c r="K56" s="414">
        <v>60714194.634000003</v>
      </c>
      <c r="L56" s="414">
        <v>109787946.34299999</v>
      </c>
      <c r="M56" s="488">
        <f>SUM(B56:L56)</f>
        <v>346163460.49299997</v>
      </c>
    </row>
    <row r="57" spans="1:13" s="408" customFormat="1" ht="17.100000000000001" customHeight="1">
      <c r="A57" s="391"/>
      <c r="B57" s="414"/>
      <c r="C57" s="414"/>
      <c r="D57" s="414"/>
      <c r="E57" s="414"/>
      <c r="F57" s="414"/>
      <c r="G57" s="414"/>
      <c r="H57" s="414"/>
      <c r="I57" s="414"/>
      <c r="J57" s="414"/>
      <c r="K57" s="414"/>
      <c r="L57" s="414"/>
      <c r="M57" s="488"/>
    </row>
    <row r="58" spans="1:13" s="408" customFormat="1" ht="17.100000000000001" customHeight="1">
      <c r="A58" s="391" t="s">
        <v>537</v>
      </c>
      <c r="B58" s="414">
        <v>2773746.2939999998</v>
      </c>
      <c r="C58" s="414">
        <v>8342648.9340000004</v>
      </c>
      <c r="D58" s="414">
        <v>14921341.334000001</v>
      </c>
      <c r="E58" s="414">
        <v>19699925.761999998</v>
      </c>
      <c r="F58" s="414">
        <v>25541028.416999999</v>
      </c>
      <c r="G58" s="414">
        <v>29005110.219000001</v>
      </c>
      <c r="H58" s="414">
        <v>64202889.524000004</v>
      </c>
      <c r="I58" s="414">
        <v>63035381.585000001</v>
      </c>
      <c r="J58" s="414">
        <v>164100288.46000001</v>
      </c>
      <c r="K58" s="414">
        <v>153494057.66800001</v>
      </c>
      <c r="L58" s="414">
        <v>481788984.50199997</v>
      </c>
      <c r="M58" s="488">
        <f>SUM(B58:L58)</f>
        <v>1026905402.699</v>
      </c>
    </row>
    <row r="59" spans="1:13" s="408" customFormat="1" ht="17.100000000000001" customHeight="1">
      <c r="A59" s="391" t="s">
        <v>539</v>
      </c>
      <c r="B59" s="414">
        <v>1725606.4559999998</v>
      </c>
      <c r="C59" s="414">
        <v>3925124.8140000002</v>
      </c>
      <c r="D59" s="414">
        <v>6918564.835</v>
      </c>
      <c r="E59" s="414">
        <v>8647801.1129999999</v>
      </c>
      <c r="F59" s="414">
        <v>12085437.935000001</v>
      </c>
      <c r="G59" s="414">
        <v>13498742.136</v>
      </c>
      <c r="H59" s="414">
        <v>31226922.222000003</v>
      </c>
      <c r="I59" s="414">
        <v>33586835.530000001</v>
      </c>
      <c r="J59" s="414">
        <v>83671969.128000006</v>
      </c>
      <c r="K59" s="414">
        <v>91815823.327000007</v>
      </c>
      <c r="L59" s="414">
        <v>1295343625.9749999</v>
      </c>
      <c r="M59" s="488">
        <f>SUM(B59:L59)</f>
        <v>1582446453.471</v>
      </c>
    </row>
    <row r="60" spans="1:13" s="408" customFormat="1" ht="17.100000000000001" customHeight="1">
      <c r="A60" s="391" t="s">
        <v>541</v>
      </c>
      <c r="B60" s="414">
        <v>1343646.31</v>
      </c>
      <c r="C60" s="414">
        <v>4079291.4670000002</v>
      </c>
      <c r="D60" s="414">
        <v>7164782.9910000004</v>
      </c>
      <c r="E60" s="414">
        <v>9640381.2960000001</v>
      </c>
      <c r="F60" s="414">
        <v>12159282.686000001</v>
      </c>
      <c r="G60" s="414">
        <v>14109770.209000001</v>
      </c>
      <c r="H60" s="414">
        <v>28033460.359000001</v>
      </c>
      <c r="I60" s="414">
        <v>26890508.921999998</v>
      </c>
      <c r="J60" s="414">
        <v>52716133.193999998</v>
      </c>
      <c r="K60" s="414">
        <v>33946757.638999999</v>
      </c>
      <c r="L60" s="414">
        <v>63745110.096000001</v>
      </c>
      <c r="M60" s="488">
        <f>SUM(B60:L60)</f>
        <v>253829125.16900003</v>
      </c>
    </row>
    <row r="61" spans="1:13" s="408" customFormat="1" ht="17.100000000000001" customHeight="1">
      <c r="A61" s="391" t="s">
        <v>544</v>
      </c>
      <c r="B61" s="414">
        <v>1296042.088</v>
      </c>
      <c r="C61" s="414">
        <v>3976013.6710000001</v>
      </c>
      <c r="D61" s="414">
        <v>7126611.0649999995</v>
      </c>
      <c r="E61" s="414">
        <v>9674089.2890000008</v>
      </c>
      <c r="F61" s="414">
        <v>12330313.863</v>
      </c>
      <c r="G61" s="414">
        <v>15196372.530999999</v>
      </c>
      <c r="H61" s="414">
        <v>35379429.523000002</v>
      </c>
      <c r="I61" s="414">
        <v>34248581.682999998</v>
      </c>
      <c r="J61" s="414">
        <v>77146049.612000003</v>
      </c>
      <c r="K61" s="414">
        <v>79015981.875</v>
      </c>
      <c r="L61" s="414">
        <v>242969275.52000001</v>
      </c>
      <c r="M61" s="488">
        <f>SUM(B61:L61)</f>
        <v>518358760.72000003</v>
      </c>
    </row>
    <row r="62" spans="1:13" s="408" customFormat="1" ht="17.100000000000001" customHeight="1">
      <c r="A62" s="391" t="s">
        <v>547</v>
      </c>
      <c r="B62" s="414">
        <v>1143856.1014</v>
      </c>
      <c r="C62" s="414">
        <v>2914237.5999999996</v>
      </c>
      <c r="D62" s="414">
        <v>5686676.2770000007</v>
      </c>
      <c r="E62" s="414">
        <v>7215068.7350000003</v>
      </c>
      <c r="F62" s="414">
        <v>8410903.8760000002</v>
      </c>
      <c r="G62" s="414">
        <v>10427030.068</v>
      </c>
      <c r="H62" s="414">
        <v>26968359.678999998</v>
      </c>
      <c r="I62" s="414">
        <v>22795614.005999997</v>
      </c>
      <c r="J62" s="414">
        <v>36530962.137000002</v>
      </c>
      <c r="K62" s="414">
        <v>26829364.984000001</v>
      </c>
      <c r="L62" s="414">
        <v>55434654.541000001</v>
      </c>
      <c r="M62" s="488">
        <f>SUM(B62:L62)</f>
        <v>204356728.00439999</v>
      </c>
    </row>
    <row r="63" spans="1:13" s="408" customFormat="1" ht="17.100000000000001" customHeight="1">
      <c r="A63" s="391"/>
      <c r="B63" s="349"/>
      <c r="C63" s="422"/>
      <c r="D63" s="349"/>
      <c r="E63" s="349"/>
      <c r="F63" s="349"/>
      <c r="G63" s="349"/>
      <c r="H63" s="349"/>
      <c r="I63" s="349"/>
      <c r="J63" s="349"/>
      <c r="K63" s="349"/>
      <c r="L63" s="349"/>
      <c r="M63" s="488"/>
    </row>
    <row r="64" spans="1:13" s="408" customFormat="1" ht="17.100000000000001" customHeight="1">
      <c r="A64" s="391" t="s">
        <v>423</v>
      </c>
      <c r="B64" s="414">
        <v>2781044.3487999998</v>
      </c>
      <c r="C64" s="349">
        <v>8888711.3599999994</v>
      </c>
      <c r="D64" s="414">
        <v>16594728.014</v>
      </c>
      <c r="E64" s="414">
        <v>21130919.373</v>
      </c>
      <c r="F64" s="414">
        <v>27014183.344999999</v>
      </c>
      <c r="G64" s="414">
        <v>30479320.252999999</v>
      </c>
      <c r="H64" s="414">
        <v>61845060.621999994</v>
      </c>
      <c r="I64" s="414">
        <v>61594726.409999996</v>
      </c>
      <c r="J64" s="349">
        <v>115891044.96799999</v>
      </c>
      <c r="K64" s="414">
        <v>84525421.509000003</v>
      </c>
      <c r="L64" s="414">
        <v>228737739.23100001</v>
      </c>
      <c r="M64" s="488">
        <f>SUM(B64:L64)</f>
        <v>659482899.43379998</v>
      </c>
    </row>
    <row r="65" spans="1:13" s="408" customFormat="1" ht="17.100000000000001" customHeight="1">
      <c r="A65" s="391" t="s">
        <v>427</v>
      </c>
      <c r="B65" s="414">
        <v>8507323.6140000001</v>
      </c>
      <c r="C65" s="414">
        <v>21558327.443</v>
      </c>
      <c r="D65" s="414">
        <v>33401743.960000005</v>
      </c>
      <c r="E65" s="414">
        <v>44656924.763609998</v>
      </c>
      <c r="F65" s="414">
        <v>53567170.799999997</v>
      </c>
      <c r="G65" s="414">
        <v>65086166.130999997</v>
      </c>
      <c r="H65" s="414">
        <v>152548602.62200001</v>
      </c>
      <c r="I65" s="414">
        <v>175155374.796</v>
      </c>
      <c r="J65" s="349">
        <v>420922219.04799998</v>
      </c>
      <c r="K65" s="414">
        <v>461594892.27499998</v>
      </c>
      <c r="L65" s="414">
        <v>2700173830.1570001</v>
      </c>
      <c r="M65" s="488">
        <f>SUM(B65:L65)</f>
        <v>4137172575.6096101</v>
      </c>
    </row>
    <row r="66" spans="1:13" s="408" customFormat="1" ht="17.100000000000001" customHeight="1">
      <c r="A66" s="391" t="s">
        <v>431</v>
      </c>
      <c r="B66" s="414">
        <v>23098661.681000002</v>
      </c>
      <c r="C66" s="414">
        <v>68088061.037</v>
      </c>
      <c r="D66" s="414">
        <v>121025743.33700001</v>
      </c>
      <c r="E66" s="414">
        <v>163466011.507</v>
      </c>
      <c r="F66" s="414">
        <v>209781862.09900001</v>
      </c>
      <c r="G66" s="414">
        <v>251682145.171</v>
      </c>
      <c r="H66" s="414">
        <v>583393569.06699991</v>
      </c>
      <c r="I66" s="414">
        <v>623575936.72899997</v>
      </c>
      <c r="J66" s="349">
        <v>1334902830.779</v>
      </c>
      <c r="K66" s="414">
        <v>1179132044.6760001</v>
      </c>
      <c r="L66" s="414">
        <v>7313945023.585</v>
      </c>
      <c r="M66" s="488">
        <f>SUM(B66:L66)</f>
        <v>11872091889.667999</v>
      </c>
    </row>
    <row r="67" spans="1:13" s="408" customFormat="1" ht="17.100000000000001" customHeight="1">
      <c r="A67" s="391" t="s">
        <v>435</v>
      </c>
      <c r="B67" s="414">
        <v>4346582.6070999997</v>
      </c>
      <c r="C67" s="414">
        <v>13989070.216</v>
      </c>
      <c r="D67" s="414">
        <v>24678709.391000003</v>
      </c>
      <c r="E67" s="414">
        <v>37184940.148000002</v>
      </c>
      <c r="F67" s="414">
        <v>47355435.107000001</v>
      </c>
      <c r="G67" s="414">
        <v>51675456.637000002</v>
      </c>
      <c r="H67" s="414">
        <v>99463786.497999996</v>
      </c>
      <c r="I67" s="414">
        <v>84084019.581999987</v>
      </c>
      <c r="J67" s="349">
        <v>163260256.79800001</v>
      </c>
      <c r="K67" s="414">
        <v>118883930.55400001</v>
      </c>
      <c r="L67" s="414">
        <v>286333428.64099997</v>
      </c>
      <c r="M67" s="488">
        <f>SUM(B67:L67)</f>
        <v>931255616.17910004</v>
      </c>
    </row>
    <row r="68" spans="1:13" s="408" customFormat="1" ht="17.100000000000001" customHeight="1">
      <c r="A68" s="391" t="s">
        <v>439</v>
      </c>
      <c r="B68" s="414">
        <v>177339.74899999998</v>
      </c>
      <c r="C68" s="414">
        <v>572635.23600000003</v>
      </c>
      <c r="D68" s="414">
        <v>774463.01300000004</v>
      </c>
      <c r="E68" s="414">
        <v>1258037.6969999999</v>
      </c>
      <c r="F68" s="414">
        <v>1859891.706</v>
      </c>
      <c r="G68" s="414">
        <v>2228491.8029999998</v>
      </c>
      <c r="H68" s="414">
        <v>3691250.6660000002</v>
      </c>
      <c r="I68" s="414">
        <v>4831659.4519999996</v>
      </c>
      <c r="J68" s="414">
        <v>7623225.9989999998</v>
      </c>
      <c r="K68" s="414">
        <v>6173417</v>
      </c>
      <c r="L68" s="414">
        <v>20779859.348999999</v>
      </c>
      <c r="M68" s="488">
        <f>SUM(B68:L68)</f>
        <v>49970271.670000002</v>
      </c>
    </row>
    <row r="69" spans="1:13" s="408" customFormat="1" ht="17.100000000000001" customHeight="1">
      <c r="A69" s="391"/>
      <c r="B69" s="414"/>
      <c r="C69" s="414"/>
      <c r="D69" s="414"/>
      <c r="E69" s="414"/>
      <c r="F69" s="414"/>
      <c r="G69" s="414"/>
      <c r="H69" s="414"/>
      <c r="I69" s="414"/>
      <c r="J69" s="414"/>
      <c r="K69" s="414"/>
      <c r="L69" s="414"/>
      <c r="M69" s="488"/>
    </row>
    <row r="70" spans="1:13" s="408" customFormat="1" ht="17.100000000000001" customHeight="1">
      <c r="A70" s="391" t="s">
        <v>443</v>
      </c>
      <c r="B70" s="414">
        <v>2399033.6402500002</v>
      </c>
      <c r="C70" s="414">
        <v>7947881.9409999996</v>
      </c>
      <c r="D70" s="414">
        <v>12855694.261</v>
      </c>
      <c r="E70" s="414">
        <v>17571600.508000001</v>
      </c>
      <c r="F70" s="414">
        <v>20290227.973000001</v>
      </c>
      <c r="G70" s="414">
        <v>24195469.088</v>
      </c>
      <c r="H70" s="414">
        <v>55635501.872999996</v>
      </c>
      <c r="I70" s="414">
        <v>60562270.555999994</v>
      </c>
      <c r="J70" s="414">
        <v>152970552.197</v>
      </c>
      <c r="K70" s="414">
        <v>149700748.75</v>
      </c>
      <c r="L70" s="414">
        <v>688835442.95500004</v>
      </c>
      <c r="M70" s="488">
        <f>SUM(B70:L70)</f>
        <v>1192964423.74225</v>
      </c>
    </row>
    <row r="71" spans="1:13" s="408" customFormat="1" ht="17.100000000000001" customHeight="1">
      <c r="A71" s="391" t="s">
        <v>447</v>
      </c>
      <c r="B71" s="414">
        <v>6074334.2102600001</v>
      </c>
      <c r="C71" s="414">
        <v>15890838.773</v>
      </c>
      <c r="D71" s="414">
        <v>24313996.510000002</v>
      </c>
      <c r="E71" s="414">
        <v>31101430.009</v>
      </c>
      <c r="F71" s="414">
        <v>39930995.869000003</v>
      </c>
      <c r="G71" s="414">
        <v>47345595.420999996</v>
      </c>
      <c r="H71" s="414">
        <v>99339884.664000005</v>
      </c>
      <c r="I71" s="414">
        <v>106941039.52700001</v>
      </c>
      <c r="J71" s="414">
        <v>284944944.86500001</v>
      </c>
      <c r="K71" s="414">
        <v>308540996.50400001</v>
      </c>
      <c r="L71" s="414">
        <v>2262479411.0451398</v>
      </c>
      <c r="M71" s="488">
        <f>SUM(B71:L71)</f>
        <v>3226903467.3973999</v>
      </c>
    </row>
    <row r="72" spans="1:13" s="408" customFormat="1" ht="17.100000000000001" customHeight="1">
      <c r="A72" s="391" t="s">
        <v>451</v>
      </c>
      <c r="B72" s="414">
        <v>445736.25800000003</v>
      </c>
      <c r="C72" s="414">
        <v>1717421.166</v>
      </c>
      <c r="D72" s="414">
        <v>3032649.14</v>
      </c>
      <c r="E72" s="414">
        <v>4471964.0010000002</v>
      </c>
      <c r="F72" s="414">
        <v>5164969.33</v>
      </c>
      <c r="G72" s="414">
        <v>6668385.443</v>
      </c>
      <c r="H72" s="414">
        <v>12828853.963</v>
      </c>
      <c r="I72" s="414">
        <v>13540087.17</v>
      </c>
      <c r="J72" s="414">
        <v>29694440.127999999</v>
      </c>
      <c r="K72" s="414">
        <v>23027015</v>
      </c>
      <c r="L72" s="414">
        <v>63137950.399999999</v>
      </c>
      <c r="M72" s="488">
        <f>SUM(B72:L72)</f>
        <v>163729471.99900001</v>
      </c>
    </row>
    <row r="73" spans="1:13" s="408" customFormat="1" ht="17.100000000000001" customHeight="1">
      <c r="A73" s="391" t="s">
        <v>455</v>
      </c>
      <c r="B73" s="414">
        <v>1979703.3670000001</v>
      </c>
      <c r="C73" s="414">
        <v>5156640.3670000006</v>
      </c>
      <c r="D73" s="414">
        <v>8027171.0760000004</v>
      </c>
      <c r="E73" s="414">
        <v>11131142.027000001</v>
      </c>
      <c r="F73" s="414">
        <v>13233347.797</v>
      </c>
      <c r="G73" s="414">
        <v>14261589.481000001</v>
      </c>
      <c r="H73" s="414">
        <v>31688203.030999999</v>
      </c>
      <c r="I73" s="414">
        <v>34168632.825999998</v>
      </c>
      <c r="J73" s="414">
        <v>90407511.447999999</v>
      </c>
      <c r="K73" s="414">
        <v>105657035.773</v>
      </c>
      <c r="L73" s="414">
        <v>547199390.77699995</v>
      </c>
      <c r="M73" s="488">
        <f>SUM(B73:L73)</f>
        <v>862910367.97000003</v>
      </c>
    </row>
    <row r="74" spans="1:13" s="408" customFormat="1" ht="17.100000000000001" customHeight="1">
      <c r="A74" s="391" t="s">
        <v>459</v>
      </c>
      <c r="B74" s="414">
        <v>1164031.882</v>
      </c>
      <c r="C74" s="414">
        <v>3608269.111</v>
      </c>
      <c r="D74" s="414">
        <v>5717903.8079999993</v>
      </c>
      <c r="E74" s="414">
        <v>8666638.5730000008</v>
      </c>
      <c r="F74" s="414">
        <v>11009300.452</v>
      </c>
      <c r="G74" s="414">
        <v>12491570.762</v>
      </c>
      <c r="H74" s="414">
        <v>30206348.906999998</v>
      </c>
      <c r="I74" s="414">
        <v>31884441.119000003</v>
      </c>
      <c r="J74" s="414">
        <v>79650682.657000005</v>
      </c>
      <c r="K74" s="414">
        <v>80736808.806999996</v>
      </c>
      <c r="L74" s="414">
        <v>200493903.778</v>
      </c>
      <c r="M74" s="488">
        <f>SUM(B74:L74)</f>
        <v>465629899.85600001</v>
      </c>
    </row>
    <row r="75" spans="1:13" s="408" customFormat="1" ht="17.100000000000001" customHeight="1">
      <c r="B75" s="349"/>
      <c r="C75" s="422"/>
      <c r="D75" s="349"/>
      <c r="E75" s="422"/>
      <c r="F75" s="349"/>
      <c r="G75" s="422"/>
      <c r="H75" s="349"/>
      <c r="I75" s="422"/>
      <c r="J75" s="349"/>
      <c r="K75" s="349"/>
      <c r="L75" s="349"/>
      <c r="M75" s="488"/>
    </row>
    <row r="76" spans="1:13" s="408" customFormat="1" ht="17.100000000000001" customHeight="1">
      <c r="A76" s="391" t="s">
        <v>463</v>
      </c>
      <c r="B76" s="414">
        <v>819137.56600000011</v>
      </c>
      <c r="C76" s="349">
        <v>2685560.3829999999</v>
      </c>
      <c r="D76" s="414">
        <v>4776720.9619999994</v>
      </c>
      <c r="E76" s="349">
        <v>6639036.2120000003</v>
      </c>
      <c r="F76" s="414">
        <v>8613368.5800000001</v>
      </c>
      <c r="G76" s="349">
        <v>9527141.5769999996</v>
      </c>
      <c r="H76" s="414">
        <v>19091866.338</v>
      </c>
      <c r="I76" s="349">
        <v>20231220.138</v>
      </c>
      <c r="J76" s="414">
        <v>39583966.522</v>
      </c>
      <c r="K76" s="414">
        <v>38152427.258000001</v>
      </c>
      <c r="L76" s="414">
        <v>204541303.72799999</v>
      </c>
      <c r="M76" s="488">
        <f>SUM(B76:L76)</f>
        <v>354661749.264</v>
      </c>
    </row>
    <row r="77" spans="1:13" s="408" customFormat="1" ht="17.100000000000001" customHeight="1">
      <c r="A77" s="391" t="s">
        <v>467</v>
      </c>
      <c r="B77" s="414">
        <v>1715368.1570000001</v>
      </c>
      <c r="C77" s="414">
        <v>5394713.3220000006</v>
      </c>
      <c r="D77" s="414">
        <v>9664139.8839999996</v>
      </c>
      <c r="E77" s="414">
        <v>11757775.946</v>
      </c>
      <c r="F77" s="414">
        <v>13124567.560000001</v>
      </c>
      <c r="G77" s="414">
        <v>15992977.498</v>
      </c>
      <c r="H77" s="414">
        <v>33364232.868000001</v>
      </c>
      <c r="I77" s="414">
        <v>26286655.77</v>
      </c>
      <c r="J77" s="414">
        <v>61532468.931999996</v>
      </c>
      <c r="K77" s="414">
        <v>46515700.873000003</v>
      </c>
      <c r="L77" s="414">
        <v>63873299.416000001</v>
      </c>
      <c r="M77" s="488">
        <f>SUM(B77:L77)</f>
        <v>289221900.22599995</v>
      </c>
    </row>
    <row r="78" spans="1:13" s="408" customFormat="1" ht="17.100000000000001" customHeight="1">
      <c r="A78" s="391" t="s">
        <v>471</v>
      </c>
      <c r="B78" s="414">
        <v>28599917.368999999</v>
      </c>
      <c r="C78" s="414">
        <v>65345393.797000006</v>
      </c>
      <c r="D78" s="414">
        <v>92436801.803000003</v>
      </c>
      <c r="E78" s="414">
        <v>116051044.59299999</v>
      </c>
      <c r="F78" s="414">
        <v>145952525.93900001</v>
      </c>
      <c r="G78" s="414">
        <v>168255315.273</v>
      </c>
      <c r="H78" s="414">
        <v>389941225.61399996</v>
      </c>
      <c r="I78" s="414">
        <v>432870898.97600001</v>
      </c>
      <c r="J78" s="414">
        <v>1231515299.0264001</v>
      </c>
      <c r="K78" s="414">
        <v>1374041418.1860001</v>
      </c>
      <c r="L78" s="414">
        <v>18765063039.449001</v>
      </c>
      <c r="M78" s="488">
        <f>SUM(B78:L78)</f>
        <v>22810072880.025402</v>
      </c>
    </row>
    <row r="79" spans="1:13" s="408" customFormat="1" ht="17.100000000000001" customHeight="1">
      <c r="A79" s="391" t="s">
        <v>475</v>
      </c>
      <c r="B79" s="414">
        <v>2140967.673</v>
      </c>
      <c r="C79" s="414">
        <v>6741619.7039999999</v>
      </c>
      <c r="D79" s="414">
        <v>12570252.222999997</v>
      </c>
      <c r="E79" s="414">
        <v>17742531.465</v>
      </c>
      <c r="F79" s="414">
        <v>22625753.265999999</v>
      </c>
      <c r="G79" s="414">
        <v>27339748.555</v>
      </c>
      <c r="H79" s="414">
        <v>65892135.663000003</v>
      </c>
      <c r="I79" s="414">
        <v>65527886.259000003</v>
      </c>
      <c r="J79" s="414">
        <v>149133771.164</v>
      </c>
      <c r="K79" s="414">
        <v>136336656.20699999</v>
      </c>
      <c r="L79" s="414">
        <v>497079435.35100001</v>
      </c>
      <c r="M79" s="488">
        <f>SUM(B79:L79)</f>
        <v>1003130757.53</v>
      </c>
    </row>
    <row r="80" spans="1:13" s="408" customFormat="1" ht="17.100000000000001" customHeight="1">
      <c r="A80" s="391" t="s">
        <v>479</v>
      </c>
      <c r="B80" s="414">
        <v>714983.62899999996</v>
      </c>
      <c r="C80" s="414">
        <v>2620227.4449999998</v>
      </c>
      <c r="D80" s="414">
        <v>4367761.6569999997</v>
      </c>
      <c r="E80" s="414">
        <v>6552513.9249999998</v>
      </c>
      <c r="F80" s="414">
        <v>7862121.2879999997</v>
      </c>
      <c r="G80" s="414">
        <v>9721450.4460000005</v>
      </c>
      <c r="H80" s="414">
        <v>21804342.699999999</v>
      </c>
      <c r="I80" s="414">
        <v>19099386.513999999</v>
      </c>
      <c r="J80" s="414">
        <v>36472201.114</v>
      </c>
      <c r="K80" s="414">
        <v>25146085</v>
      </c>
      <c r="L80" s="414">
        <v>58906539.825999998</v>
      </c>
      <c r="M80" s="488">
        <f>SUM(B80:L80)</f>
        <v>193267613.544</v>
      </c>
    </row>
    <row r="81" spans="1:13" s="408" customFormat="1" ht="17.100000000000001" customHeight="1">
      <c r="A81" s="391"/>
      <c r="B81" s="414"/>
      <c r="C81" s="414"/>
      <c r="D81" s="414"/>
      <c r="E81" s="414"/>
      <c r="F81" s="414"/>
      <c r="G81" s="414"/>
      <c r="H81" s="414"/>
      <c r="I81" s="414"/>
      <c r="J81" s="414"/>
      <c r="K81" s="414"/>
      <c r="L81" s="414"/>
      <c r="M81" s="488"/>
    </row>
    <row r="82" spans="1:13" s="408" customFormat="1" ht="17.100000000000001" customHeight="1">
      <c r="A82" s="391" t="s">
        <v>483</v>
      </c>
      <c r="B82" s="414">
        <v>1022274.046</v>
      </c>
      <c r="C82" s="414">
        <v>2621619.6569999997</v>
      </c>
      <c r="D82" s="414">
        <v>4772694.2980000004</v>
      </c>
      <c r="E82" s="414">
        <v>6094784.1960000005</v>
      </c>
      <c r="F82" s="414">
        <v>8756574.3509999998</v>
      </c>
      <c r="G82" s="414">
        <v>9435099.6150000002</v>
      </c>
      <c r="H82" s="414">
        <v>21631405.965999998</v>
      </c>
      <c r="I82" s="414">
        <v>22883435.832000002</v>
      </c>
      <c r="J82" s="414">
        <v>52317995.755000003</v>
      </c>
      <c r="K82" s="414">
        <v>45875466.593999997</v>
      </c>
      <c r="L82" s="414">
        <v>169768570.52200001</v>
      </c>
      <c r="M82" s="488">
        <f>SUM(B82:L82)</f>
        <v>345179920.83200002</v>
      </c>
    </row>
    <row r="83" spans="1:13" s="408" customFormat="1" ht="17.100000000000001" customHeight="1">
      <c r="A83" s="391" t="s">
        <v>485</v>
      </c>
      <c r="B83" s="414">
        <v>523630.9</v>
      </c>
      <c r="C83" s="414">
        <v>2117209.25</v>
      </c>
      <c r="D83" s="414">
        <v>3135002</v>
      </c>
      <c r="E83" s="414">
        <v>4990546.608</v>
      </c>
      <c r="F83" s="414">
        <v>5987400.0029999996</v>
      </c>
      <c r="G83" s="414">
        <v>6848940.8689999999</v>
      </c>
      <c r="H83" s="414">
        <v>14705124.592</v>
      </c>
      <c r="I83" s="414">
        <v>14468553.83</v>
      </c>
      <c r="J83" s="414">
        <v>36116921.377999999</v>
      </c>
      <c r="K83" s="414">
        <v>33838294.436999999</v>
      </c>
      <c r="L83" s="414">
        <v>138240360.928</v>
      </c>
      <c r="M83" s="488">
        <f>SUM(B83:L83)</f>
        <v>260971984.79500002</v>
      </c>
    </row>
    <row r="84" spans="1:13" s="408" customFormat="1" ht="17.100000000000001" customHeight="1">
      <c r="A84" s="391" t="s">
        <v>488</v>
      </c>
      <c r="B84" s="414">
        <v>2350210.2835999997</v>
      </c>
      <c r="C84" s="414">
        <v>8303927.7377000004</v>
      </c>
      <c r="D84" s="414">
        <v>15625736.976000002</v>
      </c>
      <c r="E84" s="414">
        <v>20368039.918000001</v>
      </c>
      <c r="F84" s="414">
        <v>26154250.829999998</v>
      </c>
      <c r="G84" s="414">
        <v>27335503.545000002</v>
      </c>
      <c r="H84" s="414">
        <v>60603560.105000004</v>
      </c>
      <c r="I84" s="414">
        <v>52871972.458999999</v>
      </c>
      <c r="J84" s="414">
        <v>100414364.956</v>
      </c>
      <c r="K84" s="414">
        <v>79560697.488000005</v>
      </c>
      <c r="L84" s="414">
        <v>229086599.27500001</v>
      </c>
      <c r="M84" s="488">
        <f>SUM(B84:L84)</f>
        <v>622674863.5733</v>
      </c>
    </row>
    <row r="85" spans="1:13" s="408" customFormat="1" ht="17.100000000000001" customHeight="1">
      <c r="A85" s="391" t="s">
        <v>491</v>
      </c>
      <c r="B85" s="414">
        <v>887638.625</v>
      </c>
      <c r="C85" s="414">
        <v>2524042.6949999998</v>
      </c>
      <c r="D85" s="414">
        <v>4578906.3169999998</v>
      </c>
      <c r="E85" s="414">
        <v>6369073.7130000005</v>
      </c>
      <c r="F85" s="414">
        <v>7856643.9680000003</v>
      </c>
      <c r="G85" s="414">
        <v>8340281.6040000003</v>
      </c>
      <c r="H85" s="414">
        <v>17878936.585999999</v>
      </c>
      <c r="I85" s="414">
        <v>17462399.538000003</v>
      </c>
      <c r="J85" s="414">
        <v>41061533.943999998</v>
      </c>
      <c r="K85" s="414">
        <v>37216922.365000002</v>
      </c>
      <c r="L85" s="414">
        <v>149100774.26199999</v>
      </c>
      <c r="M85" s="488">
        <f>SUM(B85:L85)</f>
        <v>293277153.61699998</v>
      </c>
    </row>
    <row r="86" spans="1:13" s="408" customFormat="1" ht="17.100000000000001" customHeight="1">
      <c r="A86" s="392" t="s">
        <v>494</v>
      </c>
      <c r="B86" s="415">
        <v>8291040.2916800007</v>
      </c>
      <c r="C86" s="415">
        <v>22288755.704</v>
      </c>
      <c r="D86" s="415">
        <v>33201488.137999997</v>
      </c>
      <c r="E86" s="415">
        <v>45982369.943999998</v>
      </c>
      <c r="F86" s="415">
        <v>62468522.800999999</v>
      </c>
      <c r="G86" s="415">
        <v>61142183.165399998</v>
      </c>
      <c r="H86" s="415">
        <v>125105791.125</v>
      </c>
      <c r="I86" s="415">
        <v>125046218.921</v>
      </c>
      <c r="J86" s="415">
        <v>281961040.35500002</v>
      </c>
      <c r="K86" s="415">
        <v>270684021.98299998</v>
      </c>
      <c r="L86" s="415">
        <v>1439872607.0090001</v>
      </c>
      <c r="M86" s="488">
        <f>SUM(B86:L86)</f>
        <v>2476044039.4370804</v>
      </c>
    </row>
    <row r="87" spans="1:13" ht="18" customHeight="1">
      <c r="A87" s="416" t="s">
        <v>721</v>
      </c>
      <c r="B87" s="417"/>
      <c r="C87" s="417"/>
      <c r="D87" s="417"/>
      <c r="E87" s="417"/>
      <c r="F87" s="417"/>
      <c r="G87" s="417"/>
      <c r="H87" s="417"/>
      <c r="I87" s="417"/>
      <c r="J87" s="417"/>
      <c r="K87" s="417"/>
      <c r="L87" s="417"/>
      <c r="M87" s="494"/>
    </row>
    <row r="88" spans="1:13" ht="17.100000000000001" customHeight="1">
      <c r="A88" s="402" t="s">
        <v>699</v>
      </c>
      <c r="B88" s="401"/>
      <c r="C88" s="401"/>
      <c r="D88" s="401"/>
      <c r="E88" s="401"/>
      <c r="F88" s="401"/>
      <c r="G88" s="401"/>
      <c r="H88" s="401"/>
      <c r="I88" s="401"/>
      <c r="J88" s="401"/>
      <c r="K88" s="401"/>
      <c r="L88" s="401"/>
    </row>
    <row r="89" spans="1:13" ht="17.100000000000001" customHeight="1">
      <c r="A89" s="403" t="str">
        <f>A46</f>
        <v>Taxable Year 2018</v>
      </c>
      <c r="B89" s="401"/>
      <c r="C89" s="401"/>
      <c r="D89" s="401"/>
      <c r="E89" s="401"/>
      <c r="F89" s="401"/>
      <c r="G89" s="401"/>
      <c r="H89" s="401"/>
      <c r="I89" s="401"/>
      <c r="J89" s="401"/>
      <c r="K89" s="401"/>
      <c r="L89" s="401"/>
    </row>
    <row r="90" spans="1:13" ht="17.100000000000001" customHeight="1" thickBot="1">
      <c r="B90" s="418">
        <f t="shared" ref="B90:M90" si="1">SUM(B52:B86)</f>
        <v>121249097.79409</v>
      </c>
      <c r="C90" s="418">
        <f t="shared" si="1"/>
        <v>335263694.60869998</v>
      </c>
      <c r="D90" s="418">
        <f t="shared" si="1"/>
        <v>550895669.58500004</v>
      </c>
      <c r="E90" s="418">
        <f t="shared" si="1"/>
        <v>738791628.99861002</v>
      </c>
      <c r="F90" s="418">
        <f t="shared" si="1"/>
        <v>934221619.97900021</v>
      </c>
      <c r="G90" s="418">
        <f t="shared" si="1"/>
        <v>1085540941.7803996</v>
      </c>
      <c r="H90" s="418">
        <f t="shared" si="1"/>
        <v>2425581747.4429998</v>
      </c>
      <c r="I90" s="418">
        <f t="shared" si="1"/>
        <v>2521331030.0909996</v>
      </c>
      <c r="J90" s="418">
        <f t="shared" si="1"/>
        <v>5950076319.8084011</v>
      </c>
      <c r="K90" s="418">
        <f t="shared" si="1"/>
        <v>5768613905.1470003</v>
      </c>
      <c r="L90" s="418">
        <f t="shared" si="1"/>
        <v>40886869248.993149</v>
      </c>
      <c r="M90" s="530">
        <f t="shared" si="1"/>
        <v>61318434904.22834</v>
      </c>
    </row>
    <row r="91" spans="1:13" ht="17.100000000000001" customHeight="1">
      <c r="A91" s="405"/>
      <c r="B91" s="419"/>
      <c r="C91" s="407"/>
      <c r="D91" s="407"/>
      <c r="E91" s="407"/>
      <c r="F91" s="407"/>
      <c r="G91" s="407"/>
      <c r="H91" s="407"/>
      <c r="I91" s="407"/>
      <c r="J91" s="407"/>
      <c r="K91" s="407"/>
      <c r="L91" s="407"/>
      <c r="M91" s="491" t="s">
        <v>17</v>
      </c>
    </row>
    <row r="92" spans="1:13" ht="17.100000000000001" customHeight="1">
      <c r="A92" s="409"/>
      <c r="B92" s="410"/>
      <c r="C92" s="410" t="s">
        <v>700</v>
      </c>
      <c r="D92" s="410" t="s">
        <v>701</v>
      </c>
      <c r="E92" s="410" t="s">
        <v>702</v>
      </c>
      <c r="F92" s="410" t="s">
        <v>703</v>
      </c>
      <c r="G92" s="410" t="s">
        <v>704</v>
      </c>
      <c r="H92" s="410" t="s">
        <v>705</v>
      </c>
      <c r="I92" s="410" t="s">
        <v>706</v>
      </c>
      <c r="J92" s="410" t="s">
        <v>707</v>
      </c>
      <c r="K92" s="410" t="s">
        <v>708</v>
      </c>
      <c r="L92" s="410" t="s">
        <v>709</v>
      </c>
      <c r="M92" s="492" t="s">
        <v>384</v>
      </c>
    </row>
    <row r="93" spans="1:13" ht="17.100000000000001" customHeight="1">
      <c r="A93" s="1196" t="s">
        <v>23</v>
      </c>
      <c r="B93" s="410" t="s">
        <v>710</v>
      </c>
      <c r="C93" s="410" t="s">
        <v>711</v>
      </c>
      <c r="D93" s="410" t="s">
        <v>712</v>
      </c>
      <c r="E93" s="410" t="s">
        <v>713</v>
      </c>
      <c r="F93" s="410" t="s">
        <v>714</v>
      </c>
      <c r="G93" s="410" t="s">
        <v>715</v>
      </c>
      <c r="H93" s="410" t="s">
        <v>716</v>
      </c>
      <c r="I93" s="410" t="s">
        <v>717</v>
      </c>
      <c r="J93" s="410" t="s">
        <v>718</v>
      </c>
      <c r="K93" s="410" t="s">
        <v>719</v>
      </c>
      <c r="L93" s="410" t="s">
        <v>720</v>
      </c>
      <c r="M93" s="492" t="s">
        <v>22</v>
      </c>
    </row>
    <row r="94" spans="1:13" ht="17.100000000000001" customHeight="1">
      <c r="A94" s="392"/>
      <c r="B94" s="423"/>
      <c r="C94" s="423"/>
      <c r="D94" s="423"/>
      <c r="E94" s="423"/>
      <c r="F94" s="423"/>
      <c r="G94" s="423"/>
      <c r="H94" s="423"/>
      <c r="I94" s="423"/>
      <c r="J94" s="423"/>
      <c r="K94" s="423"/>
      <c r="L94" s="423"/>
      <c r="M94" s="493"/>
    </row>
    <row r="95" spans="1:13" s="408" customFormat="1" ht="17.100000000000001" customHeight="1">
      <c r="A95" s="391" t="s">
        <v>496</v>
      </c>
      <c r="B95" s="357">
        <v>1403228.486</v>
      </c>
      <c r="C95" s="357">
        <v>3512308.412</v>
      </c>
      <c r="D95" s="357">
        <v>5901891.0589999994</v>
      </c>
      <c r="E95" s="357">
        <v>8879960.8719999995</v>
      </c>
      <c r="F95" s="357">
        <v>10622815.805</v>
      </c>
      <c r="G95" s="357">
        <v>13836435.710999999</v>
      </c>
      <c r="H95" s="357">
        <v>28676026.329</v>
      </c>
      <c r="I95" s="357">
        <v>27297109.729000002</v>
      </c>
      <c r="J95" s="357">
        <v>57346626.443000004</v>
      </c>
      <c r="K95" s="357">
        <v>54434470.274999999</v>
      </c>
      <c r="L95" s="357">
        <v>216275815.30700001</v>
      </c>
      <c r="M95" s="489">
        <f>SUM(B95:L95)</f>
        <v>428186688.42800003</v>
      </c>
    </row>
    <row r="96" spans="1:13" s="408" customFormat="1" ht="17.100000000000001" customHeight="1">
      <c r="A96" s="391" t="s">
        <v>499</v>
      </c>
      <c r="B96" s="414">
        <v>1434808.395</v>
      </c>
      <c r="C96" s="414">
        <v>4005567.4050000003</v>
      </c>
      <c r="D96" s="414">
        <v>6460003.4879999999</v>
      </c>
      <c r="E96" s="414">
        <v>8800381.1669999994</v>
      </c>
      <c r="F96" s="414">
        <v>10914078.257999999</v>
      </c>
      <c r="G96" s="414">
        <v>13334484.453</v>
      </c>
      <c r="H96" s="414">
        <v>31638594.037</v>
      </c>
      <c r="I96" s="414">
        <v>38153805.716000006</v>
      </c>
      <c r="J96" s="414">
        <v>96621217.817000002</v>
      </c>
      <c r="K96" s="414">
        <v>105285779.67900001</v>
      </c>
      <c r="L96" s="414">
        <v>442629104.051</v>
      </c>
      <c r="M96" s="488">
        <f>SUM(B96:L96)</f>
        <v>759277824.46600008</v>
      </c>
    </row>
    <row r="97" spans="1:13" s="408" customFormat="1" ht="17.100000000000001" customHeight="1">
      <c r="A97" s="391" t="s">
        <v>501</v>
      </c>
      <c r="B97" s="414">
        <v>1345294.07</v>
      </c>
      <c r="C97" s="414">
        <v>3802378.4549999996</v>
      </c>
      <c r="D97" s="414">
        <v>6152295.1239999998</v>
      </c>
      <c r="E97" s="414">
        <v>8300000.9129999997</v>
      </c>
      <c r="F97" s="414">
        <v>10197568.267999999</v>
      </c>
      <c r="G97" s="414">
        <v>11834655.579</v>
      </c>
      <c r="H97" s="414">
        <v>23219447.667999998</v>
      </c>
      <c r="I97" s="414">
        <v>19195137.710000001</v>
      </c>
      <c r="J97" s="414">
        <v>36638118.384000003</v>
      </c>
      <c r="K97" s="414">
        <v>29030825.467</v>
      </c>
      <c r="L97" s="414">
        <v>140803965.32499999</v>
      </c>
      <c r="M97" s="488">
        <f>SUM(B97:L97)</f>
        <v>290519686.963</v>
      </c>
    </row>
    <row r="98" spans="1:13" s="408" customFormat="1" ht="17.100000000000001" customHeight="1">
      <c r="A98" s="391" t="s">
        <v>504</v>
      </c>
      <c r="B98" s="414">
        <v>887584.78299999994</v>
      </c>
      <c r="C98" s="414">
        <v>2886061.7350000003</v>
      </c>
      <c r="D98" s="414">
        <v>4976781.0970000001</v>
      </c>
      <c r="E98" s="414">
        <v>7422952.2350000003</v>
      </c>
      <c r="F98" s="414">
        <v>9086996.8959999997</v>
      </c>
      <c r="G98" s="414">
        <v>9788127.7660000008</v>
      </c>
      <c r="H98" s="414">
        <v>21181340.193</v>
      </c>
      <c r="I98" s="414">
        <v>19613715</v>
      </c>
      <c r="J98" s="414">
        <v>49729728.827</v>
      </c>
      <c r="K98" s="414">
        <v>41684875.644000001</v>
      </c>
      <c r="L98" s="414">
        <v>194766523.14199999</v>
      </c>
      <c r="M98" s="488">
        <f>SUM(B98:L98)</f>
        <v>362024687.31799996</v>
      </c>
    </row>
    <row r="99" spans="1:13" s="408" customFormat="1" ht="17.100000000000001" customHeight="1">
      <c r="A99" s="391" t="s">
        <v>507</v>
      </c>
      <c r="B99" s="414">
        <v>915381.20199999993</v>
      </c>
      <c r="C99" s="414">
        <v>3568952.6709999996</v>
      </c>
      <c r="D99" s="414">
        <v>6020219.6240000008</v>
      </c>
      <c r="E99" s="414">
        <v>8610396.1919999998</v>
      </c>
      <c r="F99" s="414">
        <v>10858968.073000001</v>
      </c>
      <c r="G99" s="414">
        <v>12270614.865</v>
      </c>
      <c r="H99" s="414">
        <v>25502717.984999999</v>
      </c>
      <c r="I99" s="414">
        <v>23511717.677000001</v>
      </c>
      <c r="J99" s="414">
        <v>42438915.299000002</v>
      </c>
      <c r="K99" s="414">
        <v>34653177.939999998</v>
      </c>
      <c r="L99" s="414">
        <v>88397685.691</v>
      </c>
      <c r="M99" s="488">
        <f>SUM(B99:L99)</f>
        <v>256748747.21899998</v>
      </c>
    </row>
    <row r="100" spans="1:13" s="408" customFormat="1" ht="17.100000000000001" customHeight="1">
      <c r="A100" s="391"/>
      <c r="B100" s="414"/>
      <c r="C100" s="414"/>
      <c r="D100" s="414"/>
      <c r="E100" s="414"/>
      <c r="F100" s="414"/>
      <c r="G100" s="414"/>
      <c r="H100" s="414"/>
      <c r="I100" s="414"/>
      <c r="J100" s="414"/>
      <c r="K100" s="414"/>
      <c r="L100" s="414"/>
      <c r="M100" s="488"/>
    </row>
    <row r="101" spans="1:13" s="408" customFormat="1" ht="17.100000000000001" customHeight="1">
      <c r="A101" s="391" t="s">
        <v>510</v>
      </c>
      <c r="B101" s="414">
        <v>2513070.8138000001</v>
      </c>
      <c r="C101" s="414">
        <v>7517353.2019999996</v>
      </c>
      <c r="D101" s="414">
        <v>12343817.681</v>
      </c>
      <c r="E101" s="414">
        <v>18727740.693</v>
      </c>
      <c r="F101" s="414">
        <v>24015165.452</v>
      </c>
      <c r="G101" s="414">
        <v>27328950.118999999</v>
      </c>
      <c r="H101" s="414">
        <v>64059573.335000001</v>
      </c>
      <c r="I101" s="414">
        <v>64962105.806999996</v>
      </c>
      <c r="J101" s="414">
        <v>161329201.16800001</v>
      </c>
      <c r="K101" s="414">
        <v>143997932.37900001</v>
      </c>
      <c r="L101" s="414">
        <v>495695110.03100002</v>
      </c>
      <c r="M101" s="488">
        <f>SUM(B101:L101)</f>
        <v>1022490020.6808</v>
      </c>
    </row>
    <row r="102" spans="1:13" s="408" customFormat="1" ht="17.100000000000001" customHeight="1">
      <c r="A102" s="391" t="s">
        <v>513</v>
      </c>
      <c r="B102" s="414">
        <v>2088670.6170000001</v>
      </c>
      <c r="C102" s="414">
        <v>6222769.8819999993</v>
      </c>
      <c r="D102" s="414">
        <v>10072046.236000001</v>
      </c>
      <c r="E102" s="414">
        <v>14445669.899</v>
      </c>
      <c r="F102" s="414">
        <v>17286591.508000001</v>
      </c>
      <c r="G102" s="414">
        <v>21430241.826000001</v>
      </c>
      <c r="H102" s="414">
        <v>46558291.853</v>
      </c>
      <c r="I102" s="414">
        <v>42617710.836999997</v>
      </c>
      <c r="J102" s="414">
        <v>92169773.010000005</v>
      </c>
      <c r="K102" s="414">
        <v>73929952.908999994</v>
      </c>
      <c r="L102" s="414">
        <v>160649445.01800001</v>
      </c>
      <c r="M102" s="488">
        <f>SUM(B102:L102)</f>
        <v>487471163.59499997</v>
      </c>
    </row>
    <row r="103" spans="1:13" s="408" customFormat="1" ht="17.100000000000001" customHeight="1">
      <c r="A103" s="391" t="s">
        <v>516</v>
      </c>
      <c r="B103" s="414">
        <v>1451000.9078000002</v>
      </c>
      <c r="C103" s="414">
        <v>4223928.8259999994</v>
      </c>
      <c r="D103" s="414">
        <v>7112476.4740000004</v>
      </c>
      <c r="E103" s="414">
        <v>10626711.84</v>
      </c>
      <c r="F103" s="414">
        <v>13757911.142999999</v>
      </c>
      <c r="G103" s="414">
        <v>14587026.784</v>
      </c>
      <c r="H103" s="414">
        <v>31571698.612</v>
      </c>
      <c r="I103" s="414">
        <v>27105611.958000001</v>
      </c>
      <c r="J103" s="414">
        <v>54105512.987999998</v>
      </c>
      <c r="K103" s="414">
        <v>40269014.733999997</v>
      </c>
      <c r="L103" s="414">
        <v>87409802.520999998</v>
      </c>
      <c r="M103" s="488">
        <f>SUM(B103:L103)</f>
        <v>292220696.78779995</v>
      </c>
    </row>
    <row r="104" spans="1:13" s="408" customFormat="1" ht="17.100000000000001" customHeight="1">
      <c r="A104" s="391" t="s">
        <v>519</v>
      </c>
      <c r="B104" s="414">
        <v>4764048.0970000001</v>
      </c>
      <c r="C104" s="414">
        <v>14527835.739</v>
      </c>
      <c r="D104" s="414">
        <v>27661474.219000001</v>
      </c>
      <c r="E104" s="414">
        <v>35913416.848999999</v>
      </c>
      <c r="F104" s="414">
        <v>44341433.215000004</v>
      </c>
      <c r="G104" s="414">
        <v>51417977.221000001</v>
      </c>
      <c r="H104" s="414">
        <v>112990142.89300001</v>
      </c>
      <c r="I104" s="414">
        <v>105454122.69</v>
      </c>
      <c r="J104" s="414">
        <v>230509490.28400001</v>
      </c>
      <c r="K104" s="414">
        <v>189999516.509</v>
      </c>
      <c r="L104" s="414">
        <v>443670568.71499997</v>
      </c>
      <c r="M104" s="488">
        <f>SUM(B104:L104)</f>
        <v>1261250026.431</v>
      </c>
    </row>
    <row r="105" spans="1:13" s="408" customFormat="1" ht="17.100000000000001" customHeight="1">
      <c r="A105" s="391" t="s">
        <v>522</v>
      </c>
      <c r="B105" s="414">
        <v>1946565.1529999999</v>
      </c>
      <c r="C105" s="414">
        <v>5174671.932</v>
      </c>
      <c r="D105" s="414">
        <v>8115148.8609999996</v>
      </c>
      <c r="E105" s="414">
        <v>10936726.692</v>
      </c>
      <c r="F105" s="414">
        <v>14455972.15</v>
      </c>
      <c r="G105" s="414">
        <v>17009715.074000001</v>
      </c>
      <c r="H105" s="414">
        <v>42331152.077</v>
      </c>
      <c r="I105" s="414">
        <v>44164043.039000005</v>
      </c>
      <c r="J105" s="414">
        <v>115919294.278</v>
      </c>
      <c r="K105" s="414">
        <v>121972865.956</v>
      </c>
      <c r="L105" s="414">
        <v>735348452.56700003</v>
      </c>
      <c r="M105" s="488">
        <f>SUM(B105:L105)</f>
        <v>1117374607.779</v>
      </c>
    </row>
    <row r="106" spans="1:13" s="408" customFormat="1" ht="17.100000000000001" customHeight="1">
      <c r="A106" s="391"/>
      <c r="B106" s="349"/>
      <c r="C106" s="349"/>
      <c r="D106" s="349"/>
      <c r="E106" s="349"/>
      <c r="F106" s="349"/>
      <c r="G106" s="349"/>
      <c r="H106" s="349"/>
      <c r="I106" s="349"/>
      <c r="J106" s="349"/>
      <c r="K106" s="349"/>
      <c r="L106" s="349"/>
      <c r="M106" s="488"/>
    </row>
    <row r="107" spans="1:13" s="408" customFormat="1" ht="17.100000000000001" customHeight="1">
      <c r="A107" s="391" t="s">
        <v>525</v>
      </c>
      <c r="B107" s="349">
        <v>1426084.6630000002</v>
      </c>
      <c r="C107" s="414">
        <v>4765404.4730000002</v>
      </c>
      <c r="D107" s="414">
        <v>8474020.0659999996</v>
      </c>
      <c r="E107" s="349">
        <v>11177990.387</v>
      </c>
      <c r="F107" s="349">
        <v>14522700.941</v>
      </c>
      <c r="G107" s="414">
        <v>15662743.162</v>
      </c>
      <c r="H107" s="414">
        <v>33078566.213</v>
      </c>
      <c r="I107" s="414">
        <v>30778205.079999998</v>
      </c>
      <c r="J107" s="414">
        <v>57070550.105999999</v>
      </c>
      <c r="K107" s="414">
        <v>46642965.317000002</v>
      </c>
      <c r="L107" s="414">
        <v>122717479.175</v>
      </c>
      <c r="M107" s="488">
        <f>SUM(B107:L107)</f>
        <v>346316709.583</v>
      </c>
    </row>
    <row r="108" spans="1:13" s="408" customFormat="1" ht="17.100000000000001" customHeight="1">
      <c r="A108" s="391" t="s">
        <v>527</v>
      </c>
      <c r="B108" s="414">
        <v>2267210.0300000003</v>
      </c>
      <c r="C108" s="414">
        <v>7039192.2999999998</v>
      </c>
      <c r="D108" s="414">
        <v>11630604.089</v>
      </c>
      <c r="E108" s="414">
        <v>16228885.437999999</v>
      </c>
      <c r="F108" s="414">
        <v>20196959.872000001</v>
      </c>
      <c r="G108" s="414">
        <v>22007024.145</v>
      </c>
      <c r="H108" s="414">
        <v>49963744.197999999</v>
      </c>
      <c r="I108" s="414">
        <v>54120857.048</v>
      </c>
      <c r="J108" s="414">
        <v>128236042.154</v>
      </c>
      <c r="K108" s="414">
        <v>118789337.046</v>
      </c>
      <c r="L108" s="414">
        <v>387774302.10600001</v>
      </c>
      <c r="M108" s="488">
        <f>SUM(B108:L108)</f>
        <v>818254158.426</v>
      </c>
    </row>
    <row r="109" spans="1:13" s="408" customFormat="1" ht="17.100000000000001" customHeight="1">
      <c r="A109" s="391" t="s">
        <v>530</v>
      </c>
      <c r="B109" s="414">
        <v>31050581.306699999</v>
      </c>
      <c r="C109" s="414">
        <v>87194054.028999999</v>
      </c>
      <c r="D109" s="414">
        <v>147863354.102</v>
      </c>
      <c r="E109" s="414">
        <v>196996134.87</v>
      </c>
      <c r="F109" s="414">
        <v>234059056.50099999</v>
      </c>
      <c r="G109" s="414">
        <v>271699918.19599998</v>
      </c>
      <c r="H109" s="414">
        <v>626871379.68700004</v>
      </c>
      <c r="I109" s="414">
        <v>697672172.39199996</v>
      </c>
      <c r="J109" s="414">
        <v>1798147291.4820001</v>
      </c>
      <c r="K109" s="414">
        <v>1780868557.079</v>
      </c>
      <c r="L109" s="414">
        <v>10851166608.562</v>
      </c>
      <c r="M109" s="488">
        <f>SUM(B109:L109)</f>
        <v>16723589108.206701</v>
      </c>
    </row>
    <row r="110" spans="1:13" s="408" customFormat="1" ht="17.100000000000001" customHeight="1">
      <c r="A110" s="391" t="s">
        <v>532</v>
      </c>
      <c r="B110" s="414">
        <v>2188350.179</v>
      </c>
      <c r="C110" s="414">
        <v>7919606.6109999996</v>
      </c>
      <c r="D110" s="414">
        <v>13263715.947999999</v>
      </c>
      <c r="E110" s="414">
        <v>19140148.309</v>
      </c>
      <c r="F110" s="414">
        <v>23011578.245999999</v>
      </c>
      <c r="G110" s="414">
        <v>26144300.454999998</v>
      </c>
      <c r="H110" s="414">
        <v>60708166.913000003</v>
      </c>
      <c r="I110" s="414">
        <v>60077240.43</v>
      </c>
      <c r="J110" s="414">
        <v>131244689.70100001</v>
      </c>
      <c r="K110" s="414">
        <v>105212125.62</v>
      </c>
      <c r="L110" s="414">
        <v>252710464.31900001</v>
      </c>
      <c r="M110" s="488">
        <f>SUM(B110:L110)</f>
        <v>701620386.73100007</v>
      </c>
    </row>
    <row r="111" spans="1:13" s="408" customFormat="1" ht="17.100000000000001" customHeight="1">
      <c r="A111" s="391" t="s">
        <v>535</v>
      </c>
      <c r="B111" s="414">
        <v>562097.99199999997</v>
      </c>
      <c r="C111" s="414">
        <v>1420855.176</v>
      </c>
      <c r="D111" s="414">
        <v>2614738.8199999998</v>
      </c>
      <c r="E111" s="414">
        <v>3741779.0759999999</v>
      </c>
      <c r="F111" s="414">
        <v>4763475.318</v>
      </c>
      <c r="G111" s="414">
        <v>4808586.0999999996</v>
      </c>
      <c r="H111" s="414">
        <v>11817674.045</v>
      </c>
      <c r="I111" s="414">
        <v>10653203.543</v>
      </c>
      <c r="J111" s="414">
        <v>30278347.309</v>
      </c>
      <c r="K111" s="414">
        <v>28031498.715999998</v>
      </c>
      <c r="L111" s="414">
        <v>254895412.69800001</v>
      </c>
      <c r="M111" s="488">
        <f>SUM(B111:L111)</f>
        <v>353587668.79299998</v>
      </c>
    </row>
    <row r="112" spans="1:13" s="408" customFormat="1" ht="17.100000000000001" customHeight="1">
      <c r="A112" s="391"/>
      <c r="B112" s="414"/>
      <c r="C112" s="414"/>
      <c r="D112" s="414"/>
      <c r="E112" s="414"/>
      <c r="F112" s="414"/>
      <c r="G112" s="414"/>
      <c r="H112" s="414"/>
      <c r="I112" s="414"/>
      <c r="J112" s="414"/>
      <c r="K112" s="414"/>
      <c r="L112" s="414"/>
      <c r="M112" s="488"/>
    </row>
    <row r="113" spans="1:13" s="408" customFormat="1" ht="17.100000000000001" customHeight="1">
      <c r="A113" s="391" t="s">
        <v>465</v>
      </c>
      <c r="B113" s="414">
        <v>2321977.92</v>
      </c>
      <c r="C113" s="414">
        <v>4065268.301</v>
      </c>
      <c r="D113" s="414">
        <v>5707902.540000001</v>
      </c>
      <c r="E113" s="414">
        <v>6502883.2149999999</v>
      </c>
      <c r="F113" s="414">
        <v>8183216.9419999998</v>
      </c>
      <c r="G113" s="414">
        <v>9108408.2400000002</v>
      </c>
      <c r="H113" s="414">
        <v>19560699.302000001</v>
      </c>
      <c r="I113" s="414">
        <v>18225282.059</v>
      </c>
      <c r="J113" s="414">
        <v>34114196.583999999</v>
      </c>
      <c r="K113" s="414">
        <v>30218448.844000001</v>
      </c>
      <c r="L113" s="414">
        <v>111470444.648</v>
      </c>
      <c r="M113" s="488">
        <f>SUM(B113:L113)</f>
        <v>249478728.595</v>
      </c>
    </row>
    <row r="114" spans="1:13" s="408" customFormat="1" ht="17.100000000000001" customHeight="1">
      <c r="A114" s="391" t="s">
        <v>469</v>
      </c>
      <c r="B114" s="414">
        <v>8163179.2029999997</v>
      </c>
      <c r="C114" s="414">
        <v>21438334.252</v>
      </c>
      <c r="D114" s="414">
        <v>34008674.783</v>
      </c>
      <c r="E114" s="414">
        <v>47910663.005000003</v>
      </c>
      <c r="F114" s="414">
        <v>61452477.978</v>
      </c>
      <c r="G114" s="414">
        <v>75689646.880999997</v>
      </c>
      <c r="H114" s="414">
        <v>164894824.185</v>
      </c>
      <c r="I114" s="414">
        <v>176368565.73000002</v>
      </c>
      <c r="J114" s="414">
        <v>413054713.32499999</v>
      </c>
      <c r="K114" s="414">
        <v>396398464.62699997</v>
      </c>
      <c r="L114" s="414">
        <v>1681278766.585</v>
      </c>
      <c r="M114" s="488">
        <f>SUM(B114:L114)</f>
        <v>3080658310.5539999</v>
      </c>
    </row>
    <row r="115" spans="1:13" s="408" customFormat="1" ht="17.100000000000001" customHeight="1">
      <c r="A115" s="391" t="s">
        <v>542</v>
      </c>
      <c r="B115" s="414">
        <v>1776486.1</v>
      </c>
      <c r="C115" s="414">
        <v>4850863.9519999996</v>
      </c>
      <c r="D115" s="414">
        <v>8629857.0099999998</v>
      </c>
      <c r="E115" s="414">
        <v>12261333.631999999</v>
      </c>
      <c r="F115" s="414">
        <v>15515230.25</v>
      </c>
      <c r="G115" s="414">
        <v>17962906.715</v>
      </c>
      <c r="H115" s="414">
        <v>39795551.284999996</v>
      </c>
      <c r="I115" s="414">
        <v>38214791.625</v>
      </c>
      <c r="J115" s="414">
        <v>79256516.825000003</v>
      </c>
      <c r="K115" s="414">
        <v>70485043.804000005</v>
      </c>
      <c r="L115" s="414">
        <v>248888434.84599999</v>
      </c>
      <c r="M115" s="488">
        <f>SUM(B115:L115)</f>
        <v>537637016.04400003</v>
      </c>
    </row>
    <row r="116" spans="1:13" s="408" customFormat="1" ht="17.100000000000001" customHeight="1">
      <c r="A116" s="391" t="s">
        <v>545</v>
      </c>
      <c r="B116" s="414">
        <v>6125572.7697000001</v>
      </c>
      <c r="C116" s="414">
        <v>18492563.113000002</v>
      </c>
      <c r="D116" s="414">
        <v>29647556.717</v>
      </c>
      <c r="E116" s="414">
        <v>40807055.185000002</v>
      </c>
      <c r="F116" s="414">
        <v>55379738.761</v>
      </c>
      <c r="G116" s="414">
        <v>66670147.420000002</v>
      </c>
      <c r="H116" s="414">
        <v>153729564.06800002</v>
      </c>
      <c r="I116" s="414">
        <v>148929242.69300002</v>
      </c>
      <c r="J116" s="414">
        <v>346149089.62099999</v>
      </c>
      <c r="K116" s="414">
        <v>310090558.13099998</v>
      </c>
      <c r="L116" s="414">
        <v>1063386261.807</v>
      </c>
      <c r="M116" s="488">
        <f>SUM(B116:L116)</f>
        <v>2239407350.2857003</v>
      </c>
    </row>
    <row r="117" spans="1:13" s="408" customFormat="1" ht="17.100000000000001" customHeight="1">
      <c r="A117" s="391" t="s">
        <v>548</v>
      </c>
      <c r="B117" s="414">
        <v>1708078.9580000001</v>
      </c>
      <c r="C117" s="414">
        <v>5886856.7549999999</v>
      </c>
      <c r="D117" s="414">
        <v>9507593.3249999993</v>
      </c>
      <c r="E117" s="414">
        <v>13532863.129000001</v>
      </c>
      <c r="F117" s="414">
        <v>14909754.937000001</v>
      </c>
      <c r="G117" s="414">
        <v>17819168.866999999</v>
      </c>
      <c r="H117" s="414">
        <v>39529136.865999997</v>
      </c>
      <c r="I117" s="414">
        <v>37318286.202999994</v>
      </c>
      <c r="J117" s="414">
        <v>82564365.339000002</v>
      </c>
      <c r="K117" s="414">
        <v>64098610.663999997</v>
      </c>
      <c r="L117" s="414">
        <v>140471548.05700001</v>
      </c>
      <c r="M117" s="488">
        <f>SUM(B117:L117)</f>
        <v>427346263.10000002</v>
      </c>
    </row>
    <row r="118" spans="1:13" s="408" customFormat="1" ht="17.100000000000001" customHeight="1">
      <c r="A118" s="391"/>
      <c r="B118" s="414"/>
      <c r="C118" s="349"/>
      <c r="D118" s="349"/>
      <c r="E118" s="349"/>
      <c r="F118" s="349"/>
      <c r="G118" s="349"/>
      <c r="H118" s="349"/>
      <c r="I118" s="349"/>
      <c r="J118" s="349"/>
      <c r="K118" s="349"/>
      <c r="L118" s="349"/>
      <c r="M118" s="488"/>
    </row>
    <row r="119" spans="1:13" s="408" customFormat="1" ht="17.100000000000001" customHeight="1">
      <c r="A119" s="391" t="s">
        <v>424</v>
      </c>
      <c r="B119" s="414">
        <v>1957914.5520000001</v>
      </c>
      <c r="C119" s="414">
        <v>5936094.7869999995</v>
      </c>
      <c r="D119" s="349">
        <v>9641988.9759999998</v>
      </c>
      <c r="E119" s="414">
        <v>12668397.429</v>
      </c>
      <c r="F119" s="414">
        <v>15235884.073000001</v>
      </c>
      <c r="G119" s="349">
        <v>16535406.741</v>
      </c>
      <c r="H119" s="349">
        <v>33279092.846999999</v>
      </c>
      <c r="I119" s="414">
        <v>31095866.384</v>
      </c>
      <c r="J119" s="414">
        <v>70430838.984999999</v>
      </c>
      <c r="K119" s="414">
        <v>57177748.894000001</v>
      </c>
      <c r="L119" s="414">
        <v>103745017.391</v>
      </c>
      <c r="M119" s="488">
        <f>SUM(B119:L119)</f>
        <v>357704251.05900002</v>
      </c>
    </row>
    <row r="120" spans="1:13" s="408" customFormat="1" ht="17.100000000000001" customHeight="1">
      <c r="A120" s="391" t="s">
        <v>428</v>
      </c>
      <c r="B120" s="349">
        <v>3227544.1354</v>
      </c>
      <c r="C120" s="414">
        <v>9771039.7149999999</v>
      </c>
      <c r="D120" s="414">
        <v>17653182.364</v>
      </c>
      <c r="E120" s="414">
        <v>23770017.171</v>
      </c>
      <c r="F120" s="414">
        <v>29252064.412999999</v>
      </c>
      <c r="G120" s="414">
        <v>40041257.129000001</v>
      </c>
      <c r="H120" s="414">
        <v>84366062.791000009</v>
      </c>
      <c r="I120" s="414">
        <v>86263855.43900001</v>
      </c>
      <c r="J120" s="414">
        <v>189274027.59299999</v>
      </c>
      <c r="K120" s="414">
        <v>158675278.71200001</v>
      </c>
      <c r="L120" s="414">
        <v>479274886.31300002</v>
      </c>
      <c r="M120" s="488">
        <f>SUM(B120:L120)</f>
        <v>1121569215.7753999</v>
      </c>
    </row>
    <row r="121" spans="1:13" s="408" customFormat="1" ht="17.100000000000001" customHeight="1">
      <c r="A121" s="391" t="s">
        <v>432</v>
      </c>
      <c r="B121" s="414">
        <v>2338109.7829999998</v>
      </c>
      <c r="C121" s="414">
        <v>7885505.9189999998</v>
      </c>
      <c r="D121" s="414">
        <v>13617366.119000001</v>
      </c>
      <c r="E121" s="414">
        <v>18127349.659000002</v>
      </c>
      <c r="F121" s="414">
        <v>21373366.613000002</v>
      </c>
      <c r="G121" s="414">
        <v>22846529.956</v>
      </c>
      <c r="H121" s="414">
        <v>53312780.075000003</v>
      </c>
      <c r="I121" s="414">
        <v>54075147.397</v>
      </c>
      <c r="J121" s="414">
        <v>101489066.65700001</v>
      </c>
      <c r="K121" s="414">
        <v>73375977.745000005</v>
      </c>
      <c r="L121" s="414">
        <v>152054323.803</v>
      </c>
      <c r="M121" s="488">
        <f>SUM(B121:L121)</f>
        <v>520495523.72600007</v>
      </c>
    </row>
    <row r="122" spans="1:13" s="408" customFormat="1" ht="17.100000000000001" customHeight="1">
      <c r="A122" s="391" t="s">
        <v>436</v>
      </c>
      <c r="B122" s="414">
        <v>1212408.6510000001</v>
      </c>
      <c r="C122" s="414">
        <v>3975087.7229999998</v>
      </c>
      <c r="D122" s="414">
        <v>7269747.8109999998</v>
      </c>
      <c r="E122" s="414">
        <v>9646861.2459999993</v>
      </c>
      <c r="F122" s="414">
        <v>11929419.627</v>
      </c>
      <c r="G122" s="414">
        <v>13342901.804</v>
      </c>
      <c r="H122" s="414">
        <v>31590120.472999997</v>
      </c>
      <c r="I122" s="414">
        <v>32134137.245999999</v>
      </c>
      <c r="J122" s="414">
        <v>72387996.853</v>
      </c>
      <c r="K122" s="414">
        <v>61799717.450999998</v>
      </c>
      <c r="L122" s="414">
        <v>157064572.59099999</v>
      </c>
      <c r="M122" s="488">
        <f>SUM(B122:L122)</f>
        <v>402352971.47600001</v>
      </c>
    </row>
    <row r="123" spans="1:13" s="408" customFormat="1" ht="17.100000000000001" customHeight="1">
      <c r="A123" s="391" t="s">
        <v>440</v>
      </c>
      <c r="B123" s="414">
        <v>9278151.2239999995</v>
      </c>
      <c r="C123" s="414">
        <v>27163736.921999998</v>
      </c>
      <c r="D123" s="414">
        <v>47819138.741999999</v>
      </c>
      <c r="E123" s="414">
        <v>60919478.147</v>
      </c>
      <c r="F123" s="414">
        <v>75290915.850999996</v>
      </c>
      <c r="G123" s="414">
        <v>81487126.414000005</v>
      </c>
      <c r="H123" s="414">
        <v>190765039.66500002</v>
      </c>
      <c r="I123" s="414">
        <v>202106241.884</v>
      </c>
      <c r="J123" s="414">
        <v>515273540.10500002</v>
      </c>
      <c r="K123" s="414">
        <v>521261343.89600003</v>
      </c>
      <c r="L123" s="414">
        <v>2529860344.6799998</v>
      </c>
      <c r="M123" s="488">
        <f>SUM(B123:L123)</f>
        <v>4261225057.5299997</v>
      </c>
    </row>
    <row r="124" spans="1:13" s="408" customFormat="1" ht="17.100000000000001" customHeight="1">
      <c r="A124" s="391"/>
      <c r="B124" s="414"/>
      <c r="C124" s="414"/>
      <c r="D124" s="414"/>
      <c r="E124" s="414"/>
      <c r="F124" s="414"/>
      <c r="G124" s="414"/>
      <c r="H124" s="414"/>
      <c r="I124" s="414"/>
      <c r="J124" s="414"/>
      <c r="K124" s="414"/>
      <c r="L124" s="414"/>
      <c r="M124" s="488"/>
    </row>
    <row r="125" spans="1:13" s="408" customFormat="1" ht="17.100000000000001" customHeight="1">
      <c r="A125" s="391" t="s">
        <v>444</v>
      </c>
      <c r="B125" s="414">
        <v>10244359.085999999</v>
      </c>
      <c r="C125" s="414">
        <v>27638273.832000002</v>
      </c>
      <c r="D125" s="414">
        <v>44720893.858999997</v>
      </c>
      <c r="E125" s="414">
        <v>55890988.806000002</v>
      </c>
      <c r="F125" s="414">
        <v>66601701.420000002</v>
      </c>
      <c r="G125" s="414">
        <v>72156225.231999993</v>
      </c>
      <c r="H125" s="414">
        <v>171399255.02599999</v>
      </c>
      <c r="I125" s="414">
        <v>188064282.016</v>
      </c>
      <c r="J125" s="414">
        <v>494565325.61299998</v>
      </c>
      <c r="K125" s="414">
        <v>535850377.56300002</v>
      </c>
      <c r="L125" s="414">
        <v>3460530346.7620001</v>
      </c>
      <c r="M125" s="488">
        <f>SUM(B125:L125)</f>
        <v>5127662029.2150002</v>
      </c>
    </row>
    <row r="126" spans="1:13" s="408" customFormat="1" ht="17.100000000000001" customHeight="1">
      <c r="A126" s="391" t="s">
        <v>448</v>
      </c>
      <c r="B126" s="414">
        <v>573878.22600000002</v>
      </c>
      <c r="C126" s="414">
        <v>1984760.8569999998</v>
      </c>
      <c r="D126" s="414">
        <v>3124722.0189999999</v>
      </c>
      <c r="E126" s="414">
        <v>4164641.09</v>
      </c>
      <c r="F126" s="414">
        <v>5024873.6270000003</v>
      </c>
      <c r="G126" s="414">
        <v>6005733.3279999997</v>
      </c>
      <c r="H126" s="414">
        <v>12913547.969999999</v>
      </c>
      <c r="I126" s="414">
        <v>12106087.335000001</v>
      </c>
      <c r="J126" s="414">
        <v>28171813.307999998</v>
      </c>
      <c r="K126" s="414">
        <v>24022741.947999999</v>
      </c>
      <c r="L126" s="414">
        <v>57700899.321999997</v>
      </c>
      <c r="M126" s="488">
        <f>SUM(B126:L126)</f>
        <v>155793699.02999997</v>
      </c>
    </row>
    <row r="127" spans="1:13" s="408" customFormat="1" ht="17.100000000000001" customHeight="1">
      <c r="A127" s="391" t="s">
        <v>452</v>
      </c>
      <c r="B127" s="414">
        <v>755129.44100000011</v>
      </c>
      <c r="C127" s="414">
        <v>2597913.017</v>
      </c>
      <c r="D127" s="414">
        <v>3843920.6190000004</v>
      </c>
      <c r="E127" s="414">
        <v>5852962.233</v>
      </c>
      <c r="F127" s="414">
        <v>7131042.8710000003</v>
      </c>
      <c r="G127" s="414">
        <v>8092420.1109999996</v>
      </c>
      <c r="H127" s="414">
        <v>17297075.791000001</v>
      </c>
      <c r="I127" s="414">
        <v>15297824.916000001</v>
      </c>
      <c r="J127" s="414">
        <v>28192485.223000001</v>
      </c>
      <c r="K127" s="414">
        <v>23488060.767999999</v>
      </c>
      <c r="L127" s="414">
        <v>60197863.074000001</v>
      </c>
      <c r="M127" s="488">
        <f>SUM(B127:L127)</f>
        <v>172746698.06400001</v>
      </c>
    </row>
    <row r="128" spans="1:13" s="408" customFormat="1" ht="17.100000000000001" customHeight="1">
      <c r="A128" s="392" t="s">
        <v>456</v>
      </c>
      <c r="B128" s="414">
        <v>2885453.0987</v>
      </c>
      <c r="C128" s="414">
        <v>8910184.6349999998</v>
      </c>
      <c r="D128" s="414">
        <v>15807437.611000001</v>
      </c>
      <c r="E128" s="414">
        <v>20957484.136</v>
      </c>
      <c r="F128" s="414">
        <v>27271093.545000002</v>
      </c>
      <c r="G128" s="414">
        <v>28697242.877</v>
      </c>
      <c r="H128" s="414">
        <v>62658148.365000002</v>
      </c>
      <c r="I128" s="414">
        <v>54662875.460000001</v>
      </c>
      <c r="J128" s="414">
        <v>124563118.267</v>
      </c>
      <c r="K128" s="414">
        <v>105850903.34999999</v>
      </c>
      <c r="L128" s="414">
        <v>361423376.02999997</v>
      </c>
      <c r="M128" s="488">
        <f>SUM(B128:L128)</f>
        <v>813687317.37469995</v>
      </c>
    </row>
    <row r="129" spans="1:14" s="408" customFormat="1" ht="17.100000000000001" customHeight="1">
      <c r="A129" s="392" t="s">
        <v>460</v>
      </c>
      <c r="B129" s="415">
        <v>2654658.1519999998</v>
      </c>
      <c r="C129" s="415">
        <v>8808954.5709999986</v>
      </c>
      <c r="D129" s="415">
        <v>15120433.761999998</v>
      </c>
      <c r="E129" s="415">
        <v>20645110.824999999</v>
      </c>
      <c r="F129" s="415">
        <v>25163770.193999998</v>
      </c>
      <c r="G129" s="415">
        <v>29258995.726</v>
      </c>
      <c r="H129" s="415">
        <v>63764091.473000005</v>
      </c>
      <c r="I129" s="415">
        <v>71459132.437999994</v>
      </c>
      <c r="J129" s="415">
        <v>161827480.66600001</v>
      </c>
      <c r="K129" s="415">
        <v>155137283.56200001</v>
      </c>
      <c r="L129" s="415">
        <v>548369167.85800004</v>
      </c>
      <c r="M129" s="488">
        <f>SUM(B129:L129)</f>
        <v>1102209079.2270002</v>
      </c>
    </row>
    <row r="130" spans="1:14" ht="18">
      <c r="A130" s="416" t="s">
        <v>721</v>
      </c>
      <c r="B130" s="417"/>
      <c r="C130" s="417"/>
      <c r="D130" s="417"/>
      <c r="E130" s="417"/>
      <c r="F130" s="417"/>
      <c r="G130" s="417"/>
      <c r="H130" s="417"/>
      <c r="I130" s="417"/>
      <c r="J130" s="417"/>
      <c r="K130" s="417"/>
      <c r="L130" s="417"/>
      <c r="M130" s="494"/>
    </row>
    <row r="131" spans="1:14" ht="17.100000000000001" customHeight="1">
      <c r="A131" s="402" t="s">
        <v>699</v>
      </c>
      <c r="B131" s="401"/>
      <c r="C131" s="401"/>
      <c r="D131" s="401"/>
      <c r="E131" s="401"/>
      <c r="F131" s="401"/>
      <c r="G131" s="401"/>
      <c r="H131" s="401"/>
      <c r="I131" s="401"/>
      <c r="J131" s="401"/>
      <c r="K131" s="401"/>
      <c r="L131" s="401"/>
    </row>
    <row r="132" spans="1:14" ht="17.100000000000001" customHeight="1">
      <c r="A132" s="403" t="str">
        <f>A89</f>
        <v>Taxable Year 2018</v>
      </c>
      <c r="B132" s="401"/>
      <c r="C132" s="401"/>
      <c r="D132" s="401"/>
      <c r="E132" s="401"/>
      <c r="F132" s="401"/>
      <c r="G132" s="401"/>
      <c r="H132" s="401"/>
      <c r="I132" s="401"/>
      <c r="J132" s="401"/>
      <c r="K132" s="401"/>
      <c r="L132" s="401"/>
    </row>
    <row r="133" spans="1:14" ht="17.100000000000001" customHeight="1" thickBot="1">
      <c r="B133" s="418">
        <f t="shared" ref="B133:M133" si="2">SUM(B95:B129)</f>
        <v>111466877.99509999</v>
      </c>
      <c r="C133" s="418">
        <f t="shared" si="2"/>
        <v>323186379.199</v>
      </c>
      <c r="D133" s="418">
        <f t="shared" si="2"/>
        <v>544783003.1450001</v>
      </c>
      <c r="E133" s="418">
        <f t="shared" si="2"/>
        <v>733606984.34000015</v>
      </c>
      <c r="F133" s="418">
        <f t="shared" si="2"/>
        <v>901805822.74799991</v>
      </c>
      <c r="G133" s="418">
        <f t="shared" si="2"/>
        <v>1038874918.8969998</v>
      </c>
      <c r="H133" s="418">
        <f t="shared" si="2"/>
        <v>2349023506.2199993</v>
      </c>
      <c r="I133" s="418">
        <f t="shared" si="2"/>
        <v>2431698377.4810004</v>
      </c>
      <c r="J133" s="418">
        <f t="shared" si="2"/>
        <v>5823099374.2139988</v>
      </c>
      <c r="K133" s="418">
        <f t="shared" si="2"/>
        <v>5502733455.2290001</v>
      </c>
      <c r="L133" s="418">
        <f t="shared" si="2"/>
        <v>26030626992.995003</v>
      </c>
      <c r="M133" s="530">
        <f t="shared" si="2"/>
        <v>45790905692.463097</v>
      </c>
    </row>
    <row r="134" spans="1:14" ht="17.100000000000001" customHeight="1">
      <c r="A134" s="424"/>
      <c r="B134" s="425"/>
      <c r="C134" s="426"/>
      <c r="D134" s="426"/>
      <c r="E134" s="426"/>
      <c r="F134" s="426"/>
      <c r="G134" s="426"/>
      <c r="H134" s="426"/>
      <c r="I134" s="426"/>
      <c r="J134" s="426"/>
      <c r="K134" s="426"/>
      <c r="L134" s="426"/>
      <c r="M134" s="496" t="s">
        <v>17</v>
      </c>
    </row>
    <row r="135" spans="1:14" ht="17.100000000000001" customHeight="1">
      <c r="A135" s="409"/>
      <c r="B135" s="410"/>
      <c r="C135" s="410" t="s">
        <v>700</v>
      </c>
      <c r="D135" s="410" t="s">
        <v>701</v>
      </c>
      <c r="E135" s="410" t="s">
        <v>702</v>
      </c>
      <c r="F135" s="410" t="s">
        <v>703</v>
      </c>
      <c r="G135" s="410" t="s">
        <v>704</v>
      </c>
      <c r="H135" s="410" t="s">
        <v>705</v>
      </c>
      <c r="I135" s="410" t="s">
        <v>706</v>
      </c>
      <c r="J135" s="410" t="s">
        <v>707</v>
      </c>
      <c r="K135" s="410" t="s">
        <v>708</v>
      </c>
      <c r="L135" s="410" t="s">
        <v>709</v>
      </c>
      <c r="M135" s="492" t="s">
        <v>384</v>
      </c>
    </row>
    <row r="136" spans="1:14" ht="17.100000000000001" customHeight="1">
      <c r="A136" s="1196" t="s">
        <v>23</v>
      </c>
      <c r="B136" s="410" t="s">
        <v>710</v>
      </c>
      <c r="C136" s="410" t="s">
        <v>711</v>
      </c>
      <c r="D136" s="410" t="s">
        <v>712</v>
      </c>
      <c r="E136" s="410" t="s">
        <v>713</v>
      </c>
      <c r="F136" s="410" t="s">
        <v>714</v>
      </c>
      <c r="G136" s="410" t="s">
        <v>715</v>
      </c>
      <c r="H136" s="410" t="s">
        <v>716</v>
      </c>
      <c r="I136" s="410" t="s">
        <v>717</v>
      </c>
      <c r="J136" s="410" t="s">
        <v>718</v>
      </c>
      <c r="K136" s="410" t="s">
        <v>719</v>
      </c>
      <c r="L136" s="410" t="s">
        <v>720</v>
      </c>
      <c r="M136" s="492" t="s">
        <v>22</v>
      </c>
    </row>
    <row r="137" spans="1:14" ht="17.100000000000001" customHeight="1">
      <c r="A137" s="392"/>
      <c r="B137" s="427"/>
      <c r="C137" s="427"/>
      <c r="D137" s="427"/>
      <c r="E137" s="427"/>
      <c r="F137" s="427"/>
      <c r="G137" s="427"/>
      <c r="H137" s="427"/>
      <c r="I137" s="427"/>
      <c r="J137" s="427"/>
      <c r="K137" s="427"/>
      <c r="L137" s="427"/>
      <c r="M137" s="493"/>
    </row>
    <row r="138" spans="1:14" s="428" customFormat="1" ht="17.100000000000001" customHeight="1">
      <c r="A138" s="358" t="s">
        <v>464</v>
      </c>
      <c r="B138" s="357">
        <v>5107391.7857000008</v>
      </c>
      <c r="C138" s="357">
        <v>14476585.828</v>
      </c>
      <c r="D138" s="357">
        <v>24689225.756999999</v>
      </c>
      <c r="E138" s="357">
        <v>33080269.033</v>
      </c>
      <c r="F138" s="357">
        <v>39455590.506999999</v>
      </c>
      <c r="G138" s="357">
        <v>45376255.193000004</v>
      </c>
      <c r="H138" s="357">
        <v>101076809.809</v>
      </c>
      <c r="I138" s="357">
        <v>98380346.910999998</v>
      </c>
      <c r="J138" s="357">
        <v>205187881.94100001</v>
      </c>
      <c r="K138" s="357">
        <v>161114695.484</v>
      </c>
      <c r="L138" s="357">
        <v>575967254.11600006</v>
      </c>
      <c r="M138" s="489">
        <f>SUM(B138:L138)</f>
        <v>1303912306.3647001</v>
      </c>
      <c r="N138" s="408"/>
    </row>
    <row r="139" spans="1:14" ht="17.100000000000001" customHeight="1">
      <c r="A139" s="391" t="s">
        <v>468</v>
      </c>
      <c r="B139" s="414">
        <v>1301952.7590000001</v>
      </c>
      <c r="C139" s="414">
        <v>3978991.0380000002</v>
      </c>
      <c r="D139" s="414">
        <v>8238927.1279999996</v>
      </c>
      <c r="E139" s="414">
        <v>11101925.891000001</v>
      </c>
      <c r="F139" s="414">
        <v>14324963.16</v>
      </c>
      <c r="G139" s="414">
        <v>14517554.392999999</v>
      </c>
      <c r="H139" s="414">
        <v>32040016.704999998</v>
      </c>
      <c r="I139" s="414">
        <v>30257064.905999999</v>
      </c>
      <c r="J139" s="414">
        <v>68532689.329999998</v>
      </c>
      <c r="K139" s="414">
        <v>61510185.484999999</v>
      </c>
      <c r="L139" s="414">
        <v>179064432.956</v>
      </c>
      <c r="M139" s="488">
        <f>SUM(B139:L139)</f>
        <v>424868703.75100005</v>
      </c>
    </row>
    <row r="140" spans="1:14" ht="17.100000000000001" customHeight="1">
      <c r="A140" s="391" t="s">
        <v>472</v>
      </c>
      <c r="B140" s="414">
        <v>2877794.5819999999</v>
      </c>
      <c r="C140" s="414">
        <v>8734598.9069999997</v>
      </c>
      <c r="D140" s="414">
        <v>13494524.454999998</v>
      </c>
      <c r="E140" s="414">
        <v>18535847.796</v>
      </c>
      <c r="F140" s="414">
        <v>23318035.447999999</v>
      </c>
      <c r="G140" s="414">
        <v>24631311.506000001</v>
      </c>
      <c r="H140" s="414">
        <v>50250166.170000002</v>
      </c>
      <c r="I140" s="414">
        <v>45030546.078999996</v>
      </c>
      <c r="J140" s="414">
        <v>104763997.777</v>
      </c>
      <c r="K140" s="414">
        <v>83975896.475999996</v>
      </c>
      <c r="L140" s="414">
        <v>171838518.01800001</v>
      </c>
      <c r="M140" s="488">
        <f>SUM(B140:L140)</f>
        <v>547451237.21399999</v>
      </c>
    </row>
    <row r="141" spans="1:14" ht="17.100000000000001" customHeight="1">
      <c r="A141" s="391" t="s">
        <v>476</v>
      </c>
      <c r="B141" s="414">
        <v>2218484.7939999998</v>
      </c>
      <c r="C141" s="414">
        <v>7108983.7119999994</v>
      </c>
      <c r="D141" s="414">
        <v>12236819.468</v>
      </c>
      <c r="E141" s="414">
        <v>16130406.588</v>
      </c>
      <c r="F141" s="414">
        <v>20190559.662999999</v>
      </c>
      <c r="G141" s="414">
        <v>23050909.241</v>
      </c>
      <c r="H141" s="414">
        <v>51464700.281999998</v>
      </c>
      <c r="I141" s="414">
        <v>48990916.674999997</v>
      </c>
      <c r="J141" s="414">
        <v>104300986.176</v>
      </c>
      <c r="K141" s="414">
        <v>89765916.207000002</v>
      </c>
      <c r="L141" s="414">
        <v>175129888.141</v>
      </c>
      <c r="M141" s="488">
        <f>SUM(B141:L141)</f>
        <v>550588570.94700003</v>
      </c>
    </row>
    <row r="142" spans="1:14" ht="17.100000000000001" customHeight="1">
      <c r="A142" s="391" t="s">
        <v>480</v>
      </c>
      <c r="B142" s="414">
        <v>5395778.2770000007</v>
      </c>
      <c r="C142" s="414">
        <v>12895047.8028</v>
      </c>
      <c r="D142" s="414">
        <v>19043034.993000001</v>
      </c>
      <c r="E142" s="414">
        <v>24544412.73</v>
      </c>
      <c r="F142" s="414">
        <v>31533186.546999998</v>
      </c>
      <c r="G142" s="414">
        <v>35155546.733999997</v>
      </c>
      <c r="H142" s="414">
        <v>81615790.354000002</v>
      </c>
      <c r="I142" s="414">
        <v>86813050.750999987</v>
      </c>
      <c r="J142" s="414">
        <v>227512402.405</v>
      </c>
      <c r="K142" s="414">
        <v>253678084.245</v>
      </c>
      <c r="L142" s="414">
        <v>1504980699.9400001</v>
      </c>
      <c r="M142" s="488">
        <f>SUM(B142:L142)</f>
        <v>2283167034.7788</v>
      </c>
    </row>
    <row r="143" spans="1:14" ht="17.100000000000001" customHeight="1">
      <c r="A143" s="392"/>
      <c r="B143" s="414"/>
      <c r="C143" s="414"/>
      <c r="D143" s="414"/>
      <c r="E143" s="414"/>
      <c r="F143" s="414"/>
      <c r="G143" s="414"/>
      <c r="H143" s="414"/>
      <c r="I143" s="414"/>
      <c r="J143" s="414"/>
      <c r="K143" s="414"/>
      <c r="L143" s="414"/>
      <c r="M143" s="497"/>
    </row>
    <row r="144" spans="1:14" s="431" customFormat="1" ht="17.100000000000001" customHeight="1">
      <c r="A144" s="429" t="s">
        <v>24</v>
      </c>
      <c r="B144" s="430">
        <f>SUM(B138:B143)+B133+B90+B47</f>
        <v>429810545.97169995</v>
      </c>
      <c r="C144" s="430">
        <f t="shared" ref="C144:L144" si="3">SUM(C138:C143)+C133+C90+C47</f>
        <v>1191614326.3187001</v>
      </c>
      <c r="D144" s="430">
        <f t="shared" si="3"/>
        <v>1981533519.1402001</v>
      </c>
      <c r="E144" s="430">
        <f t="shared" si="3"/>
        <v>2634536946.3116102</v>
      </c>
      <c r="F144" s="430">
        <f t="shared" si="3"/>
        <v>3274265875.4202003</v>
      </c>
      <c r="G144" s="430">
        <f t="shared" si="3"/>
        <v>3786902727.4961987</v>
      </c>
      <c r="H144" s="430">
        <f t="shared" si="3"/>
        <v>8559734639.31217</v>
      </c>
      <c r="I144" s="430">
        <f t="shared" si="3"/>
        <v>9025808896.948</v>
      </c>
      <c r="J144" s="430">
        <f t="shared" si="3"/>
        <v>22299054636.271202</v>
      </c>
      <c r="K144" s="430">
        <f t="shared" si="3"/>
        <v>21709369109.423</v>
      </c>
      <c r="L144" s="430">
        <f t="shared" si="3"/>
        <v>155273868153.82434</v>
      </c>
      <c r="M144" s="498">
        <f>SUM(M138:M143)+M133+M90+M47</f>
        <v>230166499376.43732</v>
      </c>
    </row>
    <row r="145" spans="1:13" s="422" customFormat="1" ht="17.100000000000001" customHeight="1">
      <c r="A145" s="432"/>
      <c r="B145" s="433"/>
      <c r="C145" s="433"/>
      <c r="D145" s="433"/>
      <c r="E145" s="433"/>
      <c r="F145" s="433"/>
      <c r="G145" s="433"/>
      <c r="H145" s="433"/>
      <c r="I145" s="433"/>
      <c r="J145" s="433"/>
      <c r="K145" s="433"/>
      <c r="L145" s="433"/>
      <c r="M145" s="499"/>
    </row>
    <row r="146" spans="1:13" s="422" customFormat="1" ht="17.100000000000001" customHeight="1" thickBot="1">
      <c r="A146" s="435"/>
      <c r="B146" s="435"/>
      <c r="C146" s="435"/>
      <c r="D146" s="435"/>
      <c r="E146" s="435"/>
      <c r="F146" s="435"/>
      <c r="G146" s="435"/>
      <c r="H146" s="435"/>
      <c r="I146" s="435"/>
      <c r="J146" s="435"/>
      <c r="K146" s="435"/>
      <c r="L146" s="435"/>
      <c r="M146" s="500"/>
    </row>
    <row r="147" spans="1:13" ht="17.100000000000001" customHeight="1">
      <c r="A147" s="392"/>
      <c r="B147" s="392"/>
      <c r="C147" s="392"/>
      <c r="D147" s="392"/>
      <c r="E147" s="392"/>
      <c r="F147" s="392"/>
      <c r="G147" s="392"/>
      <c r="H147" s="392"/>
      <c r="I147" s="392"/>
      <c r="J147" s="392"/>
      <c r="K147" s="392"/>
      <c r="L147" s="392"/>
      <c r="M147" s="491" t="s">
        <v>17</v>
      </c>
    </row>
    <row r="148" spans="1:13" ht="17.100000000000001" customHeight="1">
      <c r="A148" s="409"/>
      <c r="B148" s="410"/>
      <c r="C148" s="410" t="s">
        <v>700</v>
      </c>
      <c r="D148" s="410" t="s">
        <v>701</v>
      </c>
      <c r="E148" s="410" t="s">
        <v>702</v>
      </c>
      <c r="F148" s="410" t="s">
        <v>703</v>
      </c>
      <c r="G148" s="410" t="s">
        <v>704</v>
      </c>
      <c r="H148" s="410" t="s">
        <v>705</v>
      </c>
      <c r="I148" s="410" t="s">
        <v>706</v>
      </c>
      <c r="J148" s="410" t="s">
        <v>707</v>
      </c>
      <c r="K148" s="410" t="s">
        <v>708</v>
      </c>
      <c r="L148" s="410" t="s">
        <v>709</v>
      </c>
      <c r="M148" s="492" t="s">
        <v>384</v>
      </c>
    </row>
    <row r="149" spans="1:13" ht="17.100000000000001" customHeight="1">
      <c r="A149" s="1196" t="s">
        <v>25</v>
      </c>
      <c r="B149" s="410" t="s">
        <v>710</v>
      </c>
      <c r="C149" s="410" t="s">
        <v>711</v>
      </c>
      <c r="D149" s="410" t="s">
        <v>712</v>
      </c>
      <c r="E149" s="410" t="s">
        <v>713</v>
      </c>
      <c r="F149" s="410" t="s">
        <v>714</v>
      </c>
      <c r="G149" s="410" t="s">
        <v>715</v>
      </c>
      <c r="H149" s="410" t="s">
        <v>716</v>
      </c>
      <c r="I149" s="410" t="s">
        <v>717</v>
      </c>
      <c r="J149" s="410" t="s">
        <v>718</v>
      </c>
      <c r="K149" s="410" t="s">
        <v>719</v>
      </c>
      <c r="L149" s="410" t="s">
        <v>720</v>
      </c>
      <c r="M149" s="492" t="s">
        <v>22</v>
      </c>
    </row>
    <row r="150" spans="1:13" ht="17.100000000000001" customHeight="1">
      <c r="A150" s="392"/>
      <c r="B150" s="423"/>
      <c r="C150" s="423"/>
      <c r="D150" s="423"/>
      <c r="E150" s="423"/>
      <c r="F150" s="423"/>
      <c r="G150" s="423"/>
      <c r="H150" s="423"/>
      <c r="I150" s="423"/>
      <c r="J150" s="423"/>
      <c r="K150" s="423"/>
      <c r="L150" s="423"/>
      <c r="M150" s="493"/>
    </row>
    <row r="151" spans="1:13" s="408" customFormat="1" ht="17.100000000000001" customHeight="1">
      <c r="A151" s="391" t="s">
        <v>497</v>
      </c>
      <c r="B151" s="357">
        <v>10883377.134199999</v>
      </c>
      <c r="C151" s="357">
        <v>31768093.958000001</v>
      </c>
      <c r="D151" s="357">
        <v>52475685.065600008</v>
      </c>
      <c r="E151" s="357">
        <v>69564218.555000007</v>
      </c>
      <c r="F151" s="357">
        <v>86259298.989199996</v>
      </c>
      <c r="G151" s="357">
        <v>98008491.890000001</v>
      </c>
      <c r="H151" s="357">
        <v>221593476.43699998</v>
      </c>
      <c r="I151" s="357">
        <v>265405183.639</v>
      </c>
      <c r="J151" s="357">
        <v>765500096.15400004</v>
      </c>
      <c r="K151" s="357">
        <v>790679167.09424996</v>
      </c>
      <c r="L151" s="357">
        <v>6971938190.74259</v>
      </c>
      <c r="M151" s="489">
        <f>SUM(B151:L151)</f>
        <v>9364075279.6588402</v>
      </c>
    </row>
    <row r="152" spans="1:13" s="408" customFormat="1" ht="17.100000000000001" customHeight="1">
      <c r="A152" s="391" t="s">
        <v>502</v>
      </c>
      <c r="B152" s="414">
        <v>3512844.8997999998</v>
      </c>
      <c r="C152" s="414">
        <v>8653876.0209999997</v>
      </c>
      <c r="D152" s="414">
        <v>12916080.544</v>
      </c>
      <c r="E152" s="414">
        <v>16566274.005999999</v>
      </c>
      <c r="F152" s="414">
        <v>20362595.379000001</v>
      </c>
      <c r="G152" s="414">
        <v>21308889.728</v>
      </c>
      <c r="H152" s="414">
        <v>44596735.538800001</v>
      </c>
      <c r="I152" s="414">
        <v>38212680.074000001</v>
      </c>
      <c r="J152" s="414">
        <v>66911809.785999998</v>
      </c>
      <c r="K152" s="414">
        <v>45355098.134000003</v>
      </c>
      <c r="L152" s="414">
        <v>100986969.50300001</v>
      </c>
      <c r="M152" s="488">
        <f>SUM(B152:L152)</f>
        <v>379383853.61360002</v>
      </c>
    </row>
    <row r="153" spans="1:13" s="408" customFormat="1" ht="17.100000000000001" customHeight="1">
      <c r="A153" s="391" t="s">
        <v>505</v>
      </c>
      <c r="B153" s="414">
        <v>696625.17500000005</v>
      </c>
      <c r="C153" s="414">
        <v>1990861.3319999999</v>
      </c>
      <c r="D153" s="414">
        <v>2983265.5319999997</v>
      </c>
      <c r="E153" s="414">
        <v>4020529.9780000001</v>
      </c>
      <c r="F153" s="414">
        <v>4593953.5029999996</v>
      </c>
      <c r="G153" s="414">
        <v>5596399.8039999995</v>
      </c>
      <c r="H153" s="414">
        <v>12316670</v>
      </c>
      <c r="I153" s="414">
        <v>10094308</v>
      </c>
      <c r="J153" s="414">
        <v>21670518.629999999</v>
      </c>
      <c r="K153" s="414">
        <v>15764945.588</v>
      </c>
      <c r="L153" s="414">
        <v>21198373</v>
      </c>
      <c r="M153" s="488">
        <f>SUM(B153:L153)</f>
        <v>100926450.542</v>
      </c>
    </row>
    <row r="154" spans="1:13" s="408" customFormat="1" ht="17.100000000000001" customHeight="1">
      <c r="A154" s="391" t="s">
        <v>508</v>
      </c>
      <c r="B154" s="414">
        <v>5079047.4619999994</v>
      </c>
      <c r="C154" s="414">
        <v>11690488.395</v>
      </c>
      <c r="D154" s="414">
        <v>18443019.958999999</v>
      </c>
      <c r="E154" s="414">
        <v>25508748.272999998</v>
      </c>
      <c r="F154" s="414">
        <v>30017163.839000002</v>
      </c>
      <c r="G154" s="414">
        <v>36857887.038000003</v>
      </c>
      <c r="H154" s="414">
        <v>73670328.201999992</v>
      </c>
      <c r="I154" s="414">
        <v>73301015.465999991</v>
      </c>
      <c r="J154" s="414">
        <v>161012377.097</v>
      </c>
      <c r="K154" s="414">
        <v>127524428.714</v>
      </c>
      <c r="L154" s="414">
        <v>986992737.51600003</v>
      </c>
      <c r="M154" s="488">
        <f>SUM(B154:L154)</f>
        <v>1550097241.961</v>
      </c>
    </row>
    <row r="155" spans="1:13" s="408" customFormat="1" ht="17.100000000000001" customHeight="1">
      <c r="A155" s="391" t="s">
        <v>511</v>
      </c>
      <c r="B155" s="414">
        <v>17318953.553599998</v>
      </c>
      <c r="C155" s="414">
        <v>50899056.053999998</v>
      </c>
      <c r="D155" s="414">
        <v>89556408.873999998</v>
      </c>
      <c r="E155" s="414">
        <v>117614949.013</v>
      </c>
      <c r="F155" s="414">
        <v>138828925.74900001</v>
      </c>
      <c r="G155" s="414">
        <v>161700470.50999999</v>
      </c>
      <c r="H155" s="414">
        <v>367152867.63100004</v>
      </c>
      <c r="I155" s="414">
        <v>389308909.35699999</v>
      </c>
      <c r="J155" s="414">
        <v>921495925.70099998</v>
      </c>
      <c r="K155" s="414">
        <v>853050237.52700996</v>
      </c>
      <c r="L155" s="414">
        <v>3593436435.5461302</v>
      </c>
      <c r="M155" s="488">
        <f>SUM(B155:L155)</f>
        <v>6700363139.5157404</v>
      </c>
    </row>
    <row r="156" spans="1:13" s="408" customFormat="1" ht="17.100000000000001" customHeight="1">
      <c r="A156" s="391"/>
      <c r="B156" s="414"/>
      <c r="C156" s="414"/>
      <c r="D156" s="414"/>
      <c r="E156" s="414"/>
      <c r="F156" s="414"/>
      <c r="G156" s="414"/>
      <c r="H156" s="414"/>
      <c r="I156" s="414"/>
      <c r="J156" s="414"/>
      <c r="K156" s="414"/>
      <c r="L156" s="414"/>
      <c r="M156" s="488"/>
    </row>
    <row r="157" spans="1:13" s="408" customFormat="1" ht="17.100000000000001" customHeight="1">
      <c r="A157" s="391" t="s">
        <v>514</v>
      </c>
      <c r="B157" s="414">
        <v>1348116.0660000001</v>
      </c>
      <c r="C157" s="414">
        <v>4020389.7090000003</v>
      </c>
      <c r="D157" s="414">
        <v>8065073.1510000005</v>
      </c>
      <c r="E157" s="414">
        <v>10334946.176999999</v>
      </c>
      <c r="F157" s="414">
        <v>13667128.695</v>
      </c>
      <c r="G157" s="414">
        <v>16357102.972999999</v>
      </c>
      <c r="H157" s="414">
        <v>37355339.758000001</v>
      </c>
      <c r="I157" s="414">
        <v>34829595.277999997</v>
      </c>
      <c r="J157" s="414">
        <v>78514416.775999993</v>
      </c>
      <c r="K157" s="414">
        <v>63966759.850000001</v>
      </c>
      <c r="L157" s="414">
        <v>150022662.37099999</v>
      </c>
      <c r="M157" s="488">
        <f>SUM(B157:L157)</f>
        <v>418481530.80400002</v>
      </c>
    </row>
    <row r="158" spans="1:13" s="408" customFormat="1" ht="17.100000000000001" customHeight="1">
      <c r="A158" s="391" t="s">
        <v>517</v>
      </c>
      <c r="B158" s="414">
        <v>686504.42999999993</v>
      </c>
      <c r="C158" s="414">
        <v>1856533.9610000001</v>
      </c>
      <c r="D158" s="414">
        <v>3110554.8689999999</v>
      </c>
      <c r="E158" s="414">
        <v>4603235.0829999996</v>
      </c>
      <c r="F158" s="414">
        <v>5941340.2259999998</v>
      </c>
      <c r="G158" s="414">
        <v>5435173.898</v>
      </c>
      <c r="H158" s="414">
        <v>12055820.298</v>
      </c>
      <c r="I158" s="414">
        <v>10985085.403999999</v>
      </c>
      <c r="J158" s="414">
        <v>18521301.702</v>
      </c>
      <c r="K158" s="414">
        <v>15486883.912</v>
      </c>
      <c r="L158" s="414">
        <v>26143122.232999999</v>
      </c>
      <c r="M158" s="488">
        <f>SUM(B158:L158)</f>
        <v>104825556.01599999</v>
      </c>
    </row>
    <row r="159" spans="1:13" s="408" customFormat="1" ht="17.100000000000001" customHeight="1">
      <c r="A159" s="391" t="s">
        <v>520</v>
      </c>
      <c r="B159" s="414">
        <v>4178473.1648999997</v>
      </c>
      <c r="C159" s="414">
        <v>13832644.09</v>
      </c>
      <c r="D159" s="414">
        <v>26547318.545000002</v>
      </c>
      <c r="E159" s="414">
        <v>33302514.791999999</v>
      </c>
      <c r="F159" s="414">
        <v>38882617.174000002</v>
      </c>
      <c r="G159" s="414">
        <v>41002609.255999997</v>
      </c>
      <c r="H159" s="414">
        <v>77634190.240999997</v>
      </c>
      <c r="I159" s="414">
        <v>68587645.716999993</v>
      </c>
      <c r="J159" s="414">
        <v>125472889.11499999</v>
      </c>
      <c r="K159" s="414">
        <v>84172230.140000001</v>
      </c>
      <c r="L159" s="414">
        <v>277575896.45300001</v>
      </c>
      <c r="M159" s="488">
        <f>SUM(B159:L159)</f>
        <v>791189028.68790007</v>
      </c>
    </row>
    <row r="160" spans="1:13" s="408" customFormat="1" ht="17.100000000000001" customHeight="1">
      <c r="A160" s="391" t="s">
        <v>523</v>
      </c>
      <c r="B160" s="414">
        <v>697385.79799999995</v>
      </c>
      <c r="C160" s="414">
        <v>2354105.4640000002</v>
      </c>
      <c r="D160" s="349">
        <v>3397134.8339999998</v>
      </c>
      <c r="E160" s="349">
        <v>5155794.9960000003</v>
      </c>
      <c r="F160" s="414">
        <v>4478106.7740000002</v>
      </c>
      <c r="G160" s="414">
        <v>5832150.6730000004</v>
      </c>
      <c r="H160" s="414">
        <v>10977877.663000001</v>
      </c>
      <c r="I160" s="414">
        <v>8333675.3220000006</v>
      </c>
      <c r="J160" s="414">
        <v>13783317.725</v>
      </c>
      <c r="K160" s="414">
        <v>8008132.1090000002</v>
      </c>
      <c r="L160" s="414">
        <v>20762138.861000001</v>
      </c>
      <c r="M160" s="488">
        <f>SUM(B160:L160)</f>
        <v>83779820.219000012</v>
      </c>
    </row>
    <row r="161" spans="1:13" s="408" customFormat="1" ht="17.100000000000001" customHeight="1">
      <c r="A161" s="391" t="s">
        <v>518</v>
      </c>
      <c r="B161" s="414">
        <v>3130366.1289600004</v>
      </c>
      <c r="C161" s="414">
        <v>7422526.7090000007</v>
      </c>
      <c r="D161" s="414">
        <v>11224454.461000001</v>
      </c>
      <c r="E161" s="414">
        <v>13295587.922</v>
      </c>
      <c r="F161" s="414">
        <v>14788994.945</v>
      </c>
      <c r="G161" s="414">
        <v>17024132.491</v>
      </c>
      <c r="H161" s="414">
        <v>36904996.511</v>
      </c>
      <c r="I161" s="414">
        <v>41907359.795000002</v>
      </c>
      <c r="J161" s="414">
        <v>108347993.529</v>
      </c>
      <c r="K161" s="414">
        <v>108510262.734</v>
      </c>
      <c r="L161" s="414">
        <v>1008297393.197</v>
      </c>
      <c r="M161" s="488">
        <f>SUM(B161:L161)</f>
        <v>1370854068.42296</v>
      </c>
    </row>
    <row r="162" spans="1:13" s="408" customFormat="1" ht="17.100000000000001" customHeight="1">
      <c r="A162" s="391"/>
      <c r="B162" s="414"/>
      <c r="C162" s="414"/>
      <c r="D162" s="414"/>
      <c r="E162" s="414"/>
      <c r="F162" s="414"/>
      <c r="G162" s="414"/>
      <c r="H162" s="414"/>
      <c r="I162" s="414"/>
      <c r="J162" s="414"/>
      <c r="K162" s="414"/>
      <c r="L162" s="414"/>
      <c r="M162" s="488"/>
    </row>
    <row r="163" spans="1:13" s="408" customFormat="1" ht="17.100000000000001" customHeight="1">
      <c r="A163" s="391" t="s">
        <v>528</v>
      </c>
      <c r="B163" s="414">
        <v>1399880.7645</v>
      </c>
      <c r="C163" s="414">
        <v>2935394.32</v>
      </c>
      <c r="D163" s="414">
        <v>3709694.0190000003</v>
      </c>
      <c r="E163" s="414">
        <v>4072487.952</v>
      </c>
      <c r="F163" s="414">
        <v>5248740.7079999996</v>
      </c>
      <c r="G163" s="414">
        <v>6619662.4589999998</v>
      </c>
      <c r="H163" s="414">
        <v>14958449.944</v>
      </c>
      <c r="I163" s="414">
        <v>19819700.278999999</v>
      </c>
      <c r="J163" s="414">
        <v>57508229.034000002</v>
      </c>
      <c r="K163" s="414">
        <v>61261383.501000002</v>
      </c>
      <c r="L163" s="414">
        <v>963622927.92579997</v>
      </c>
      <c r="M163" s="488">
        <f>SUM(B163:L163)</f>
        <v>1141156550.9063001</v>
      </c>
    </row>
    <row r="164" spans="1:13" s="408" customFormat="1" ht="17.100000000000001" customHeight="1">
      <c r="A164" s="391" t="s">
        <v>26</v>
      </c>
      <c r="B164" s="349">
        <v>681291.42700000003</v>
      </c>
      <c r="C164" s="349">
        <v>2499131.3810000001</v>
      </c>
      <c r="D164" s="349">
        <v>4655286.67</v>
      </c>
      <c r="E164" s="349">
        <v>5516168.7400000002</v>
      </c>
      <c r="F164" s="349">
        <v>6837439.6550000003</v>
      </c>
      <c r="G164" s="349">
        <v>7505913.4570000004</v>
      </c>
      <c r="H164" s="349">
        <v>15294111.971000001</v>
      </c>
      <c r="I164" s="349">
        <v>12305436.738</v>
      </c>
      <c r="J164" s="349">
        <v>23440878.953000002</v>
      </c>
      <c r="K164" s="349">
        <v>16507990.579</v>
      </c>
      <c r="L164" s="349">
        <v>49162141.563000001</v>
      </c>
      <c r="M164" s="488">
        <f>SUM(B164:L164)</f>
        <v>144405791.134</v>
      </c>
    </row>
    <row r="165" spans="1:13" s="408" customFormat="1" ht="17.100000000000001" customHeight="1">
      <c r="A165" s="391" t="s">
        <v>533</v>
      </c>
      <c r="B165" s="349">
        <v>2336397.1570000001</v>
      </c>
      <c r="C165" s="349">
        <v>7058681.216</v>
      </c>
      <c r="D165" s="349">
        <v>12350375.556</v>
      </c>
      <c r="E165" s="349">
        <v>15788584.27</v>
      </c>
      <c r="F165" s="349">
        <v>20112313.294</v>
      </c>
      <c r="G165" s="349">
        <v>21005305.432</v>
      </c>
      <c r="H165" s="349">
        <v>46552047.232999995</v>
      </c>
      <c r="I165" s="349">
        <v>47327587.711999997</v>
      </c>
      <c r="J165" s="349">
        <v>99834731.417999998</v>
      </c>
      <c r="K165" s="349">
        <v>81571953.228</v>
      </c>
      <c r="L165" s="349">
        <v>548730419.22099996</v>
      </c>
      <c r="M165" s="488">
        <f>SUM(B165:L165)</f>
        <v>902668395.73699999</v>
      </c>
    </row>
    <row r="166" spans="1:13" s="408" customFormat="1" ht="17.100000000000001" customHeight="1">
      <c r="A166" s="391" t="s">
        <v>536</v>
      </c>
      <c r="B166" s="349">
        <v>749789.99699999997</v>
      </c>
      <c r="C166" s="349">
        <v>2434324.04</v>
      </c>
      <c r="D166" s="349">
        <v>3940879.5130000003</v>
      </c>
      <c r="E166" s="349">
        <v>5465720.085</v>
      </c>
      <c r="F166" s="349">
        <v>6459238.9850000003</v>
      </c>
      <c r="G166" s="349">
        <v>6880747.3820000002</v>
      </c>
      <c r="H166" s="349">
        <v>13052225.693</v>
      </c>
      <c r="I166" s="349">
        <v>11086967.953</v>
      </c>
      <c r="J166" s="349">
        <v>20731984.300999999</v>
      </c>
      <c r="K166" s="349">
        <v>16002091.901000001</v>
      </c>
      <c r="L166" s="349">
        <v>38110838.395000003</v>
      </c>
      <c r="M166" s="488">
        <f>SUM(B166:L166)</f>
        <v>124914808.245</v>
      </c>
    </row>
    <row r="167" spans="1:13" s="408" customFormat="1" ht="17.100000000000001" customHeight="1">
      <c r="A167" s="391" t="s">
        <v>538</v>
      </c>
      <c r="B167" s="349">
        <v>9278139.0942000002</v>
      </c>
      <c r="C167" s="349">
        <v>29631450.847000003</v>
      </c>
      <c r="D167" s="349">
        <v>57994991.763999999</v>
      </c>
      <c r="E167" s="349">
        <v>76577728.671000004</v>
      </c>
      <c r="F167" s="349">
        <v>93947353.847000003</v>
      </c>
      <c r="G167" s="349">
        <v>108062445.78300001</v>
      </c>
      <c r="H167" s="349">
        <v>236488159.93000001</v>
      </c>
      <c r="I167" s="349">
        <v>222201992.82699999</v>
      </c>
      <c r="J167" s="349">
        <v>498360148.81</v>
      </c>
      <c r="K167" s="349">
        <v>398585443.63599998</v>
      </c>
      <c r="L167" s="349">
        <v>963254361.65799999</v>
      </c>
      <c r="M167" s="488">
        <f>SUM(B167:L167)</f>
        <v>2694382216.8671999</v>
      </c>
    </row>
    <row r="168" spans="1:13" s="408" customFormat="1" ht="17.100000000000001" customHeight="1">
      <c r="A168" s="391"/>
      <c r="B168" s="349"/>
      <c r="C168" s="349"/>
      <c r="D168" s="349"/>
      <c r="E168" s="349"/>
      <c r="F168" s="349"/>
      <c r="G168" s="349"/>
      <c r="H168" s="349"/>
      <c r="I168" s="349"/>
      <c r="J168" s="349"/>
      <c r="K168" s="349"/>
      <c r="L168" s="349"/>
      <c r="M168" s="488"/>
    </row>
    <row r="169" spans="1:13" s="408" customFormat="1" ht="17.100000000000001" customHeight="1">
      <c r="A169" s="391" t="s">
        <v>540</v>
      </c>
      <c r="B169" s="349">
        <v>3918312.0253999997</v>
      </c>
      <c r="C169" s="349">
        <v>10951053.295</v>
      </c>
      <c r="D169" s="349">
        <v>18002137.335999999</v>
      </c>
      <c r="E169" s="349">
        <v>24481461.414999999</v>
      </c>
      <c r="F169" s="349">
        <v>31048011.66</v>
      </c>
      <c r="G169" s="349">
        <v>39791743.196000002</v>
      </c>
      <c r="H169" s="349">
        <v>81732850.693000004</v>
      </c>
      <c r="I169" s="349">
        <v>72557278.601999998</v>
      </c>
      <c r="J169" s="349">
        <v>137271581.87099999</v>
      </c>
      <c r="K169" s="349">
        <v>96813696.731000006</v>
      </c>
      <c r="L169" s="349">
        <v>278889585.29100001</v>
      </c>
      <c r="M169" s="488">
        <f>SUM(B169:L169)</f>
        <v>795457712.11540008</v>
      </c>
    </row>
    <row r="170" spans="1:13" s="408" customFormat="1" ht="17.100000000000001" customHeight="1">
      <c r="A170" s="349" t="s">
        <v>543</v>
      </c>
      <c r="B170" s="349">
        <v>1777592.2960000001</v>
      </c>
      <c r="C170" s="349">
        <v>6787713.3219999997</v>
      </c>
      <c r="D170" s="349">
        <v>12807614.873</v>
      </c>
      <c r="E170" s="349">
        <v>16179136.028999999</v>
      </c>
      <c r="F170" s="349">
        <v>19714654.732999999</v>
      </c>
      <c r="G170" s="349">
        <v>21349078.278999999</v>
      </c>
      <c r="H170" s="349">
        <v>44106483.909999996</v>
      </c>
      <c r="I170" s="349">
        <v>39434933.584000006</v>
      </c>
      <c r="J170" s="349">
        <v>73834424.863999993</v>
      </c>
      <c r="K170" s="349">
        <v>49103192.866999999</v>
      </c>
      <c r="L170" s="349">
        <v>80191962.336999997</v>
      </c>
      <c r="M170" s="488">
        <f>SUM(B170:L170)</f>
        <v>365286787.09399998</v>
      </c>
    </row>
    <row r="171" spans="1:13" s="408" customFormat="1" ht="17.100000000000001" customHeight="1">
      <c r="A171" s="392" t="s">
        <v>546</v>
      </c>
      <c r="B171" s="353">
        <v>598759.652</v>
      </c>
      <c r="C171" s="353">
        <v>1268623.341</v>
      </c>
      <c r="D171" s="353">
        <v>1997582.9209999999</v>
      </c>
      <c r="E171" s="353">
        <v>2490964.86</v>
      </c>
      <c r="F171" s="353">
        <v>2999405.5580000002</v>
      </c>
      <c r="G171" s="353">
        <v>3902833.5079999999</v>
      </c>
      <c r="H171" s="353">
        <v>8402500.1140000001</v>
      </c>
      <c r="I171" s="353">
        <v>7861789.443</v>
      </c>
      <c r="J171" s="353">
        <v>18133474.234000001</v>
      </c>
      <c r="K171" s="353">
        <v>18070441.390999999</v>
      </c>
      <c r="L171" s="353">
        <v>104286519.368</v>
      </c>
      <c r="M171" s="488">
        <f>SUM(B171:L171)</f>
        <v>170012894.38999999</v>
      </c>
    </row>
    <row r="172" spans="1:13" s="408" customFormat="1" ht="17.100000000000001" customHeight="1">
      <c r="A172" s="392" t="s">
        <v>549</v>
      </c>
      <c r="B172" s="353">
        <v>7424627.9313999992</v>
      </c>
      <c r="C172" s="353">
        <v>21378067.362999998</v>
      </c>
      <c r="D172" s="353">
        <v>37183584.881999999</v>
      </c>
      <c r="E172" s="353">
        <v>48485996.690800004</v>
      </c>
      <c r="F172" s="353">
        <v>56188786.561999999</v>
      </c>
      <c r="G172" s="353">
        <v>62204501.527000003</v>
      </c>
      <c r="H172" s="353">
        <v>132071057.367</v>
      </c>
      <c r="I172" s="353">
        <v>115936059.774</v>
      </c>
      <c r="J172" s="353">
        <v>235189716.065</v>
      </c>
      <c r="K172" s="353">
        <v>182186340.43000001</v>
      </c>
      <c r="L172" s="353">
        <v>775451332.19599998</v>
      </c>
      <c r="M172" s="488">
        <f>SUM(B172:L172)</f>
        <v>1673700070.7881999</v>
      </c>
    </row>
    <row r="173" spans="1:13" s="408" customFormat="1" ht="17.100000000000001" customHeight="1">
      <c r="A173" s="391" t="s">
        <v>425</v>
      </c>
      <c r="B173" s="349">
        <v>2899982.3090000004</v>
      </c>
      <c r="C173" s="349">
        <v>9356060.4949999992</v>
      </c>
      <c r="D173" s="349">
        <v>16514147.399999999</v>
      </c>
      <c r="E173" s="349">
        <v>23196041.056000002</v>
      </c>
      <c r="F173" s="349">
        <v>28807834.112</v>
      </c>
      <c r="G173" s="349">
        <v>32050203.791999999</v>
      </c>
      <c r="H173" s="349">
        <v>72611823.266000003</v>
      </c>
      <c r="I173" s="349">
        <v>79003808.342999995</v>
      </c>
      <c r="J173" s="349">
        <v>192364049.67399999</v>
      </c>
      <c r="K173" s="349">
        <v>159993958.535</v>
      </c>
      <c r="L173" s="349">
        <v>594254881.83899999</v>
      </c>
      <c r="M173" s="488">
        <f>SUM(B173:L173)</f>
        <v>1211052790.8210001</v>
      </c>
    </row>
    <row r="174" spans="1:13" s="437" customFormat="1" ht="18">
      <c r="A174" s="416" t="s">
        <v>721</v>
      </c>
      <c r="B174" s="436"/>
      <c r="C174" s="436"/>
      <c r="D174" s="436"/>
      <c r="E174" s="436"/>
      <c r="F174" s="436"/>
      <c r="G174" s="436"/>
      <c r="H174" s="436"/>
      <c r="I174" s="436"/>
      <c r="J174" s="436"/>
      <c r="K174" s="436"/>
      <c r="L174" s="436"/>
      <c r="M174" s="501"/>
    </row>
    <row r="175" spans="1:13" ht="17.100000000000001" customHeight="1">
      <c r="A175" s="402" t="s">
        <v>699</v>
      </c>
      <c r="B175" s="438"/>
      <c r="C175" s="438"/>
      <c r="D175" s="438"/>
      <c r="E175" s="438"/>
      <c r="F175" s="438"/>
      <c r="G175" s="438"/>
      <c r="H175" s="438"/>
      <c r="I175" s="438"/>
      <c r="J175" s="438"/>
      <c r="K175" s="438"/>
      <c r="L175" s="438"/>
      <c r="M175" s="502"/>
    </row>
    <row r="176" spans="1:13" ht="17.100000000000001" customHeight="1">
      <c r="A176" s="403" t="str">
        <f>A132</f>
        <v>Taxable Year 2018</v>
      </c>
      <c r="B176" s="439"/>
      <c r="C176" s="439"/>
      <c r="D176" s="439"/>
      <c r="E176" s="439"/>
      <c r="F176" s="439"/>
      <c r="G176" s="439"/>
      <c r="H176" s="439"/>
      <c r="I176" s="439"/>
      <c r="J176" s="439"/>
      <c r="K176" s="439"/>
      <c r="L176" s="439"/>
      <c r="M176" s="503"/>
    </row>
    <row r="177" spans="1:13" ht="17.100000000000001" customHeight="1" thickBot="1">
      <c r="B177" s="418">
        <f>SUM(B151:B173)</f>
        <v>78596466.465959981</v>
      </c>
      <c r="C177" s="418">
        <f t="shared" ref="C177:M177" si="4">SUM(C151:C173)</f>
        <v>228789075.31299996</v>
      </c>
      <c r="D177" s="418">
        <f t="shared" si="4"/>
        <v>397875290.76859999</v>
      </c>
      <c r="E177" s="418">
        <f t="shared" si="4"/>
        <v>522221088.56379998</v>
      </c>
      <c r="F177" s="418">
        <f t="shared" si="4"/>
        <v>629183904.3872</v>
      </c>
      <c r="G177" s="418">
        <f t="shared" si="4"/>
        <v>718495743.07600009</v>
      </c>
      <c r="H177" s="418">
        <f t="shared" si="4"/>
        <v>1559528012.4008002</v>
      </c>
      <c r="I177" s="418">
        <f t="shared" si="4"/>
        <v>1568501013.3070002</v>
      </c>
      <c r="J177" s="418">
        <f t="shared" si="4"/>
        <v>3637899865.4389997</v>
      </c>
      <c r="K177" s="418">
        <f t="shared" si="4"/>
        <v>3192614638.6012597</v>
      </c>
      <c r="L177" s="418">
        <f t="shared" si="4"/>
        <v>17553308889.216518</v>
      </c>
      <c r="M177" s="418">
        <f t="shared" si="4"/>
        <v>30087013987.539135</v>
      </c>
    </row>
    <row r="178" spans="1:13" ht="17.100000000000001" customHeight="1">
      <c r="A178" s="405"/>
      <c r="B178" s="419"/>
      <c r="C178" s="407"/>
      <c r="D178" s="407"/>
      <c r="E178" s="407"/>
      <c r="F178" s="407"/>
      <c r="G178" s="407"/>
      <c r="H178" s="407"/>
      <c r="I178" s="407"/>
      <c r="J178" s="407"/>
      <c r="K178" s="407"/>
      <c r="L178" s="407"/>
      <c r="M178" s="491" t="s">
        <v>17</v>
      </c>
    </row>
    <row r="179" spans="1:13" ht="17.100000000000001" customHeight="1">
      <c r="A179" s="409"/>
      <c r="B179" s="410"/>
      <c r="C179" s="410" t="s">
        <v>700</v>
      </c>
      <c r="D179" s="410" t="s">
        <v>701</v>
      </c>
      <c r="E179" s="410" t="s">
        <v>702</v>
      </c>
      <c r="F179" s="410" t="s">
        <v>703</v>
      </c>
      <c r="G179" s="410" t="s">
        <v>704</v>
      </c>
      <c r="H179" s="410" t="s">
        <v>705</v>
      </c>
      <c r="I179" s="410" t="s">
        <v>706</v>
      </c>
      <c r="J179" s="410" t="s">
        <v>707</v>
      </c>
      <c r="K179" s="410" t="s">
        <v>708</v>
      </c>
      <c r="L179" s="410" t="s">
        <v>709</v>
      </c>
      <c r="M179" s="492" t="s">
        <v>384</v>
      </c>
    </row>
    <row r="180" spans="1:13" ht="17.100000000000001" customHeight="1">
      <c r="A180" s="1196" t="s">
        <v>25</v>
      </c>
      <c r="B180" s="410" t="s">
        <v>710</v>
      </c>
      <c r="C180" s="410" t="s">
        <v>711</v>
      </c>
      <c r="D180" s="410" t="s">
        <v>712</v>
      </c>
      <c r="E180" s="410" t="s">
        <v>713</v>
      </c>
      <c r="F180" s="410" t="s">
        <v>714</v>
      </c>
      <c r="G180" s="410" t="s">
        <v>715</v>
      </c>
      <c r="H180" s="410" t="s">
        <v>716</v>
      </c>
      <c r="I180" s="410" t="s">
        <v>717</v>
      </c>
      <c r="J180" s="410" t="s">
        <v>718</v>
      </c>
      <c r="K180" s="410" t="s">
        <v>719</v>
      </c>
      <c r="L180" s="410" t="s">
        <v>720</v>
      </c>
      <c r="M180" s="492" t="s">
        <v>22</v>
      </c>
    </row>
    <row r="181" spans="1:13" ht="17.100000000000001" customHeight="1">
      <c r="A181" s="392"/>
      <c r="B181" s="423"/>
      <c r="C181" s="423"/>
      <c r="D181" s="423"/>
      <c r="E181" s="423"/>
      <c r="F181" s="423"/>
      <c r="G181" s="423"/>
      <c r="H181" s="423"/>
      <c r="I181" s="423"/>
      <c r="J181" s="423"/>
      <c r="K181" s="423"/>
      <c r="L181" s="423"/>
      <c r="M181" s="493"/>
    </row>
    <row r="182" spans="1:13" s="408" customFormat="1" ht="17.100000000000001" customHeight="1">
      <c r="A182" s="391" t="s">
        <v>429</v>
      </c>
      <c r="B182" s="358">
        <v>1135205.2250000001</v>
      </c>
      <c r="C182" s="358">
        <v>3722954.7050000005</v>
      </c>
      <c r="D182" s="358">
        <v>6832616.9780000001</v>
      </c>
      <c r="E182" s="358">
        <v>9374731.9409999996</v>
      </c>
      <c r="F182" s="358">
        <v>11980999.763</v>
      </c>
      <c r="G182" s="358">
        <v>14239236.821</v>
      </c>
      <c r="H182" s="358">
        <v>32157411.57</v>
      </c>
      <c r="I182" s="358">
        <v>34160910</v>
      </c>
      <c r="J182" s="358">
        <v>82246349.585999995</v>
      </c>
      <c r="K182" s="358">
        <v>71906145.126000002</v>
      </c>
      <c r="L182" s="358">
        <v>206200753.92199999</v>
      </c>
      <c r="M182" s="489">
        <f>SUM(B182:L182)</f>
        <v>473957315.63699996</v>
      </c>
    </row>
    <row r="183" spans="1:13" s="408" customFormat="1" ht="17.100000000000001" customHeight="1">
      <c r="A183" s="391" t="s">
        <v>433</v>
      </c>
      <c r="B183" s="349">
        <v>1458179.12</v>
      </c>
      <c r="C183" s="349">
        <v>4360113.165</v>
      </c>
      <c r="D183" s="349">
        <v>7866370.9739999995</v>
      </c>
      <c r="E183" s="349">
        <v>10607818.209000001</v>
      </c>
      <c r="F183" s="349">
        <v>14454276.482999999</v>
      </c>
      <c r="G183" s="349">
        <v>14755010.615</v>
      </c>
      <c r="H183" s="349">
        <v>24939086.564999998</v>
      </c>
      <c r="I183" s="349">
        <v>20481216.706</v>
      </c>
      <c r="J183" s="349">
        <v>37950067.465999998</v>
      </c>
      <c r="K183" s="349">
        <v>22404001.056000002</v>
      </c>
      <c r="L183" s="349">
        <v>139309922.49000001</v>
      </c>
      <c r="M183" s="488">
        <f>SUM(B183:L183)</f>
        <v>298586062.84899998</v>
      </c>
    </row>
    <row r="184" spans="1:13" s="408" customFormat="1" ht="17.100000000000001" customHeight="1">
      <c r="A184" s="391" t="s">
        <v>437</v>
      </c>
      <c r="B184" s="349">
        <v>12937055.710719999</v>
      </c>
      <c r="C184" s="349">
        <v>43496700.429000005</v>
      </c>
      <c r="D184" s="349">
        <v>82202779.344000012</v>
      </c>
      <c r="E184" s="349">
        <v>108886805.844</v>
      </c>
      <c r="F184" s="349">
        <v>132980862.972</v>
      </c>
      <c r="G184" s="349">
        <v>153899787.68900001</v>
      </c>
      <c r="H184" s="349">
        <v>314867281.329</v>
      </c>
      <c r="I184" s="349">
        <v>302826051.64399999</v>
      </c>
      <c r="J184" s="349">
        <v>640283529.87204003</v>
      </c>
      <c r="K184" s="349">
        <v>522589240.66100001</v>
      </c>
      <c r="L184" s="349">
        <v>1408971894.062</v>
      </c>
      <c r="M184" s="488">
        <f>SUM(B184:L184)</f>
        <v>3723941989.5567598</v>
      </c>
    </row>
    <row r="185" spans="1:13" s="408" customFormat="1" ht="17.100000000000001" customHeight="1">
      <c r="A185" s="391" t="s">
        <v>441</v>
      </c>
      <c r="B185" s="349">
        <v>15603598.272</v>
      </c>
      <c r="C185" s="349">
        <v>54760896.212750003</v>
      </c>
      <c r="D185" s="349">
        <v>105335415.309</v>
      </c>
      <c r="E185" s="349">
        <v>138906556.919</v>
      </c>
      <c r="F185" s="349">
        <v>161421473.38699999</v>
      </c>
      <c r="G185" s="349">
        <v>173593088.44100001</v>
      </c>
      <c r="H185" s="349">
        <v>350945394.08050001</v>
      </c>
      <c r="I185" s="349">
        <v>329863071.47500002</v>
      </c>
      <c r="J185" s="349">
        <v>664910464.73899996</v>
      </c>
      <c r="K185" s="349">
        <v>487975283.18099999</v>
      </c>
      <c r="L185" s="349">
        <v>2084198943.4412501</v>
      </c>
      <c r="M185" s="488">
        <f>SUM(B185:L185)</f>
        <v>4567514185.4574995</v>
      </c>
    </row>
    <row r="186" spans="1:13" s="408" customFormat="1" ht="17.100000000000001" customHeight="1">
      <c r="A186" s="391" t="s">
        <v>445</v>
      </c>
      <c r="B186" s="349">
        <v>447352.85800000001</v>
      </c>
      <c r="C186" s="349">
        <v>1401652.456</v>
      </c>
      <c r="D186" s="349">
        <v>2631746.8190000001</v>
      </c>
      <c r="E186" s="349">
        <v>2752495.4109999998</v>
      </c>
      <c r="F186" s="349">
        <v>3478305.574</v>
      </c>
      <c r="G186" s="349">
        <v>3654228.412</v>
      </c>
      <c r="H186" s="349">
        <v>7298858.9029999999</v>
      </c>
      <c r="I186" s="349">
        <v>6554417.818</v>
      </c>
      <c r="J186" s="349">
        <v>12528186.165999999</v>
      </c>
      <c r="K186" s="349">
        <v>10407090.029999999</v>
      </c>
      <c r="L186" s="349">
        <v>21368658.213</v>
      </c>
      <c r="M186" s="488">
        <f>SUM(B186:L186)</f>
        <v>72522992.659999996</v>
      </c>
    </row>
    <row r="187" spans="1:13" s="408" customFormat="1" ht="17.100000000000001" customHeight="1">
      <c r="A187" s="391"/>
      <c r="B187" s="349"/>
      <c r="C187" s="349"/>
      <c r="D187" s="349"/>
      <c r="E187" s="349"/>
      <c r="F187" s="349"/>
      <c r="G187" s="349"/>
      <c r="H187" s="349"/>
      <c r="I187" s="349"/>
      <c r="J187" s="349"/>
      <c r="K187" s="349"/>
      <c r="L187" s="349"/>
      <c r="M187" s="488"/>
    </row>
    <row r="188" spans="1:13" s="408" customFormat="1" ht="17.100000000000001" customHeight="1">
      <c r="A188" s="391" t="s">
        <v>449</v>
      </c>
      <c r="B188" s="349">
        <v>2492971.0649999999</v>
      </c>
      <c r="C188" s="349">
        <v>10231382.103999998</v>
      </c>
      <c r="D188" s="349">
        <v>20142128.990999997</v>
      </c>
      <c r="E188" s="349">
        <v>25439798.631999999</v>
      </c>
      <c r="F188" s="349">
        <v>30077479.32</v>
      </c>
      <c r="G188" s="349">
        <v>32945417.778000001</v>
      </c>
      <c r="H188" s="349">
        <v>64989239.321999997</v>
      </c>
      <c r="I188" s="349">
        <v>53292302.344999999</v>
      </c>
      <c r="J188" s="349">
        <v>85597727.966000006</v>
      </c>
      <c r="K188" s="349">
        <v>47140550.027999997</v>
      </c>
      <c r="L188" s="349">
        <v>81417787.491999999</v>
      </c>
      <c r="M188" s="488">
        <f>SUM(B188:L188)</f>
        <v>453766785.04299998</v>
      </c>
    </row>
    <row r="189" spans="1:13" s="408" customFormat="1" ht="17.100000000000001" customHeight="1">
      <c r="A189" s="391" t="s">
        <v>453</v>
      </c>
      <c r="B189" s="349">
        <v>1003252.088</v>
      </c>
      <c r="C189" s="349">
        <v>1976850.4519999998</v>
      </c>
      <c r="D189" s="349">
        <v>3579708.733</v>
      </c>
      <c r="E189" s="349">
        <v>4801592.4579999996</v>
      </c>
      <c r="F189" s="349">
        <v>4659700.72</v>
      </c>
      <c r="G189" s="349">
        <v>5586234.6349999998</v>
      </c>
      <c r="H189" s="349">
        <v>14035853.517999999</v>
      </c>
      <c r="I189" s="349">
        <v>16794785.568999998</v>
      </c>
      <c r="J189" s="349">
        <v>47541707.163000003</v>
      </c>
      <c r="K189" s="349">
        <v>51180302.881999999</v>
      </c>
      <c r="L189" s="349">
        <v>317641463.92799997</v>
      </c>
      <c r="M189" s="488">
        <f>SUM(B189:L189)</f>
        <v>468801452.14599997</v>
      </c>
    </row>
    <row r="190" spans="1:13" s="408" customFormat="1" ht="17.100000000000001" customHeight="1">
      <c r="A190" s="391" t="s">
        <v>457</v>
      </c>
      <c r="B190" s="349">
        <v>5759182.2439999999</v>
      </c>
      <c r="C190" s="349">
        <v>21449684.318999998</v>
      </c>
      <c r="D190" s="349">
        <v>45200918.516000003</v>
      </c>
      <c r="E190" s="349">
        <v>59422831.376000002</v>
      </c>
      <c r="F190" s="349">
        <v>70466643.239999995</v>
      </c>
      <c r="G190" s="349">
        <v>82720500.528999999</v>
      </c>
      <c r="H190" s="349">
        <v>168190058.41100001</v>
      </c>
      <c r="I190" s="349">
        <v>161054259.676</v>
      </c>
      <c r="J190" s="349">
        <v>359148389.39600003</v>
      </c>
      <c r="K190" s="349">
        <v>249805105.06799999</v>
      </c>
      <c r="L190" s="349">
        <v>514452782.52700001</v>
      </c>
      <c r="M190" s="488">
        <f>SUM(B190:L190)</f>
        <v>1737670355.302</v>
      </c>
    </row>
    <row r="191" spans="1:13" s="408" customFormat="1" ht="17.100000000000001" customHeight="1">
      <c r="A191" s="391" t="s">
        <v>461</v>
      </c>
      <c r="B191" s="349">
        <v>1434251.3659999999</v>
      </c>
      <c r="C191" s="349">
        <v>4163860.415</v>
      </c>
      <c r="D191" s="349">
        <v>6269021.4530000007</v>
      </c>
      <c r="E191" s="349">
        <v>7809217.6200000001</v>
      </c>
      <c r="F191" s="349">
        <v>9323044.3420000002</v>
      </c>
      <c r="G191" s="349">
        <v>9304619.0140000004</v>
      </c>
      <c r="H191" s="349">
        <v>19329563.778999999</v>
      </c>
      <c r="I191" s="349">
        <v>19558842.979000002</v>
      </c>
      <c r="J191" s="349">
        <v>39737539.560000002</v>
      </c>
      <c r="K191" s="349">
        <v>36332112.303999998</v>
      </c>
      <c r="L191" s="349">
        <v>106388986.773</v>
      </c>
      <c r="M191" s="488">
        <f>SUM(B191:L191)</f>
        <v>259651059.60499999</v>
      </c>
    </row>
    <row r="192" spans="1:13" s="408" customFormat="1" ht="17.100000000000001" customHeight="1">
      <c r="A192" s="391" t="s">
        <v>465</v>
      </c>
      <c r="B192" s="349">
        <v>17104024.477700002</v>
      </c>
      <c r="C192" s="349">
        <v>56659034.392899998</v>
      </c>
      <c r="D192" s="349">
        <v>109223131.56739999</v>
      </c>
      <c r="E192" s="349">
        <v>139006322.42699999</v>
      </c>
      <c r="F192" s="349">
        <v>171246743.68000001</v>
      </c>
      <c r="G192" s="349">
        <v>193532434.583</v>
      </c>
      <c r="H192" s="349">
        <v>411320706.486</v>
      </c>
      <c r="I192" s="349">
        <v>412482958.41900003</v>
      </c>
      <c r="J192" s="349">
        <v>750662364.81099999</v>
      </c>
      <c r="K192" s="349">
        <v>499825933.89258999</v>
      </c>
      <c r="L192" s="349">
        <v>4712224735.3529997</v>
      </c>
      <c r="M192" s="488">
        <f t="shared" ref="M192:M202" si="5">SUM(B192:L192)</f>
        <v>7473288390.0895901</v>
      </c>
    </row>
    <row r="193" spans="1:13" s="408" customFormat="1" ht="17.100000000000001" customHeight="1">
      <c r="A193" s="391"/>
      <c r="B193" s="349"/>
      <c r="C193" s="349"/>
      <c r="D193" s="349"/>
      <c r="E193" s="349"/>
      <c r="F193" s="349"/>
      <c r="G193" s="349"/>
      <c r="H193" s="349"/>
      <c r="I193" s="349"/>
      <c r="J193" s="349"/>
      <c r="K193" s="349"/>
      <c r="L193" s="349"/>
      <c r="M193" s="488"/>
    </row>
    <row r="194" spans="1:13" s="408" customFormat="1" ht="17.100000000000001" customHeight="1">
      <c r="A194" s="391" t="s">
        <v>27</v>
      </c>
      <c r="B194" s="349">
        <v>8123470.8554999996</v>
      </c>
      <c r="C194" s="349">
        <v>27695617.262999997</v>
      </c>
      <c r="D194" s="349">
        <v>50242444.240000002</v>
      </c>
      <c r="E194" s="349">
        <v>67330592.226999998</v>
      </c>
      <c r="F194" s="349">
        <v>85715425.928000003</v>
      </c>
      <c r="G194" s="349">
        <v>103285477.285</v>
      </c>
      <c r="H194" s="349">
        <v>206856914.48699999</v>
      </c>
      <c r="I194" s="349">
        <v>177637985.23299998</v>
      </c>
      <c r="J194" s="349">
        <v>317828519.82934999</v>
      </c>
      <c r="K194" s="349">
        <v>209199503.37900001</v>
      </c>
      <c r="L194" s="349">
        <v>918225270.19200003</v>
      </c>
      <c r="M194" s="488">
        <f t="shared" si="5"/>
        <v>2172141220.9188499</v>
      </c>
    </row>
    <row r="195" spans="1:13" s="408" customFormat="1" ht="17.100000000000001" customHeight="1">
      <c r="A195" s="391" t="s">
        <v>473</v>
      </c>
      <c r="B195" s="349">
        <v>2196858.3600000003</v>
      </c>
      <c r="C195" s="349">
        <v>5834613.7579999994</v>
      </c>
      <c r="D195" s="349">
        <v>10212785.567</v>
      </c>
      <c r="E195" s="349">
        <v>13821169.164999999</v>
      </c>
      <c r="F195" s="349">
        <v>17776902.469000001</v>
      </c>
      <c r="G195" s="349">
        <v>20764123.907000002</v>
      </c>
      <c r="H195" s="349">
        <v>49631379.104000002</v>
      </c>
      <c r="I195" s="349">
        <v>45165232.943000004</v>
      </c>
      <c r="J195" s="349">
        <v>99342527.187999994</v>
      </c>
      <c r="K195" s="349">
        <v>86061929.181999996</v>
      </c>
      <c r="L195" s="349">
        <v>392505395.87699997</v>
      </c>
      <c r="M195" s="488">
        <f t="shared" si="5"/>
        <v>743312917.51999998</v>
      </c>
    </row>
    <row r="196" spans="1:13" s="408" customFormat="1" ht="17.100000000000001" customHeight="1">
      <c r="A196" s="391" t="s">
        <v>477</v>
      </c>
      <c r="B196" s="349">
        <v>1887289.706</v>
      </c>
      <c r="C196" s="349">
        <v>6142064.5829999996</v>
      </c>
      <c r="D196" s="349">
        <v>11422008.219000001</v>
      </c>
      <c r="E196" s="349">
        <v>15778757.706</v>
      </c>
      <c r="F196" s="349">
        <v>19741602.276000001</v>
      </c>
      <c r="G196" s="349">
        <v>21150077.394000001</v>
      </c>
      <c r="H196" s="349">
        <v>51657929.635000005</v>
      </c>
      <c r="I196" s="349">
        <v>55128344.107999995</v>
      </c>
      <c r="J196" s="349">
        <v>103180546.449</v>
      </c>
      <c r="K196" s="349">
        <v>83982539</v>
      </c>
      <c r="L196" s="349">
        <v>227889057.79699999</v>
      </c>
      <c r="M196" s="488">
        <f t="shared" si="5"/>
        <v>597960216.87299991</v>
      </c>
    </row>
    <row r="197" spans="1:13" s="408" customFormat="1" ht="17.100000000000001" customHeight="1">
      <c r="A197" s="391" t="s">
        <v>481</v>
      </c>
      <c r="B197" s="349">
        <v>5987797.352</v>
      </c>
      <c r="C197" s="349">
        <v>18858823.295999996</v>
      </c>
      <c r="D197" s="349">
        <v>33809274.370999999</v>
      </c>
      <c r="E197" s="349">
        <v>45367497.046999998</v>
      </c>
      <c r="F197" s="349">
        <v>53536258.211999997</v>
      </c>
      <c r="G197" s="349">
        <v>62243330.202</v>
      </c>
      <c r="H197" s="349">
        <v>133644357.02399999</v>
      </c>
      <c r="I197" s="349">
        <v>137126233.04000002</v>
      </c>
      <c r="J197" s="349">
        <v>327967431.61900002</v>
      </c>
      <c r="K197" s="349">
        <v>316210377.81699997</v>
      </c>
      <c r="L197" s="349">
        <v>1374786923.8429999</v>
      </c>
      <c r="M197" s="488">
        <f t="shared" si="5"/>
        <v>2509538303.823</v>
      </c>
    </row>
    <row r="198" spans="1:13" s="408" customFormat="1" ht="17.100000000000001" customHeight="1">
      <c r="A198" s="391"/>
      <c r="B198" s="349"/>
      <c r="C198" s="349"/>
      <c r="D198" s="349"/>
      <c r="E198" s="349"/>
      <c r="F198" s="349"/>
      <c r="G198" s="349"/>
      <c r="H198" s="349"/>
      <c r="I198" s="349"/>
      <c r="J198" s="349"/>
      <c r="K198" s="349"/>
      <c r="L198" s="349"/>
      <c r="M198" s="488"/>
    </row>
    <row r="199" spans="1:13" s="408" customFormat="1" ht="17.100000000000001" customHeight="1">
      <c r="A199" s="391" t="s">
        <v>28</v>
      </c>
      <c r="B199" s="349">
        <v>33113650.534109998</v>
      </c>
      <c r="C199" s="349">
        <v>94559532.717599988</v>
      </c>
      <c r="D199" s="349">
        <v>164046227.78799999</v>
      </c>
      <c r="E199" s="349">
        <v>217640522.498</v>
      </c>
      <c r="F199" s="349">
        <v>270227146.04500002</v>
      </c>
      <c r="G199" s="349">
        <v>315658102.59100002</v>
      </c>
      <c r="H199" s="349">
        <v>719131521.73800004</v>
      </c>
      <c r="I199" s="349">
        <v>772718638.58599997</v>
      </c>
      <c r="J199" s="349">
        <v>1739877122.8180001</v>
      </c>
      <c r="K199" s="349">
        <v>1572021059.6201999</v>
      </c>
      <c r="L199" s="349">
        <v>8269296597.9729996</v>
      </c>
      <c r="M199" s="488">
        <f>SUM(B199:L199)</f>
        <v>14168290122.908909</v>
      </c>
    </row>
    <row r="200" spans="1:13" s="408" customFormat="1" ht="17.100000000000001" customHeight="1">
      <c r="A200" s="391" t="s">
        <v>486</v>
      </c>
      <c r="B200" s="349">
        <v>1608957.9249999998</v>
      </c>
      <c r="C200" s="349">
        <v>5277633.6579999998</v>
      </c>
      <c r="D200" s="349">
        <v>9469134.4790000003</v>
      </c>
      <c r="E200" s="349">
        <v>13261665.861</v>
      </c>
      <c r="F200" s="349">
        <v>16941114.686999999</v>
      </c>
      <c r="G200" s="349">
        <v>21040139.199000001</v>
      </c>
      <c r="H200" s="349">
        <v>44833814.991999999</v>
      </c>
      <c r="I200" s="349">
        <v>44306903.773000002</v>
      </c>
      <c r="J200" s="349">
        <v>91216473.309</v>
      </c>
      <c r="K200" s="349">
        <v>65689589</v>
      </c>
      <c r="L200" s="349">
        <v>163842798.45500001</v>
      </c>
      <c r="M200" s="488">
        <f t="shared" si="5"/>
        <v>477488225.33800006</v>
      </c>
    </row>
    <row r="201" spans="1:13" s="408" customFormat="1" ht="17.100000000000001" customHeight="1">
      <c r="A201" s="391" t="s">
        <v>489</v>
      </c>
      <c r="B201" s="349">
        <v>1935239.5643999998</v>
      </c>
      <c r="C201" s="349">
        <v>4362179.1140000001</v>
      </c>
      <c r="D201" s="349">
        <v>6089075.9050000003</v>
      </c>
      <c r="E201" s="349">
        <v>7665860.3109999998</v>
      </c>
      <c r="F201" s="349">
        <v>9370850.1429999992</v>
      </c>
      <c r="G201" s="349">
        <v>9059231.1640000008</v>
      </c>
      <c r="H201" s="349">
        <v>18021875.811999999</v>
      </c>
      <c r="I201" s="349">
        <v>19507516.504999999</v>
      </c>
      <c r="J201" s="349">
        <v>41895558.946000002</v>
      </c>
      <c r="K201" s="349">
        <v>34773438.189000003</v>
      </c>
      <c r="L201" s="349">
        <v>229974066.36199999</v>
      </c>
      <c r="M201" s="488">
        <f t="shared" si="5"/>
        <v>382654892.01539999</v>
      </c>
    </row>
    <row r="202" spans="1:13" s="408" customFormat="1" ht="17.100000000000001" customHeight="1">
      <c r="A202" s="392" t="s">
        <v>492</v>
      </c>
      <c r="B202" s="353">
        <v>2631351.3870000001</v>
      </c>
      <c r="C202" s="353">
        <v>7627666.4910000004</v>
      </c>
      <c r="D202" s="353">
        <v>13072970.269000001</v>
      </c>
      <c r="E202" s="353">
        <v>16959021.412999999</v>
      </c>
      <c r="F202" s="353">
        <v>20945988.423</v>
      </c>
      <c r="G202" s="353">
        <v>26011345.392000001</v>
      </c>
      <c r="H202" s="353">
        <v>56788365.208999999</v>
      </c>
      <c r="I202" s="353">
        <v>52719005.859999999</v>
      </c>
      <c r="J202" s="353">
        <v>102378271.977</v>
      </c>
      <c r="K202" s="353">
        <v>74817430.243000001</v>
      </c>
      <c r="L202" s="353">
        <v>367042323.40899998</v>
      </c>
      <c r="M202" s="488">
        <f t="shared" si="5"/>
        <v>740993740.07299995</v>
      </c>
    </row>
    <row r="203" spans="1:13" ht="17.100000000000001" customHeight="1">
      <c r="A203" s="392"/>
      <c r="B203" s="440"/>
      <c r="C203" s="440"/>
      <c r="D203" s="440"/>
      <c r="E203" s="440"/>
      <c r="F203" s="440"/>
      <c r="G203" s="440"/>
      <c r="H203" s="440"/>
      <c r="I203" s="434"/>
      <c r="J203" s="434"/>
      <c r="K203" s="434"/>
      <c r="L203" s="434"/>
      <c r="M203" s="499"/>
    </row>
    <row r="204" spans="1:13" s="431" customFormat="1" ht="18" customHeight="1">
      <c r="A204" s="429" t="s">
        <v>29</v>
      </c>
      <c r="B204" s="430">
        <f>SUM(B182:B202)+B177</f>
        <v>195456154.57638997</v>
      </c>
      <c r="C204" s="430">
        <f t="shared" ref="C204:K204" si="6">SUM(C182:C202)+C177</f>
        <v>601370334.84424996</v>
      </c>
      <c r="D204" s="430">
        <f t="shared" si="6"/>
        <v>1085523050.2909999</v>
      </c>
      <c r="E204" s="430">
        <f t="shared" si="6"/>
        <v>1427054345.6287999</v>
      </c>
      <c r="F204" s="430">
        <f t="shared" si="6"/>
        <v>1733528722.0511999</v>
      </c>
      <c r="G204" s="430">
        <f t="shared" si="6"/>
        <v>1981938128.7269998</v>
      </c>
      <c r="H204" s="430">
        <f t="shared" si="6"/>
        <v>4248167624.3653002</v>
      </c>
      <c r="I204" s="430">
        <f t="shared" si="6"/>
        <v>4229879689.9860005</v>
      </c>
      <c r="J204" s="430">
        <f t="shared" si="6"/>
        <v>9182192644.2993908</v>
      </c>
      <c r="K204" s="430">
        <f t="shared" si="6"/>
        <v>7634936269.2600498</v>
      </c>
      <c r="L204" s="430">
        <f>SUM(L182:L202)+L177</f>
        <v>39089047251.325768</v>
      </c>
      <c r="M204" s="498">
        <f>SUM(M182:M202)+M177</f>
        <v>71409094215.355133</v>
      </c>
    </row>
    <row r="205" spans="1:13" s="431" customFormat="1" ht="18" customHeight="1">
      <c r="A205" s="429" t="s">
        <v>24</v>
      </c>
      <c r="B205" s="430">
        <f>B144</f>
        <v>429810545.97169995</v>
      </c>
      <c r="C205" s="430">
        <f t="shared" ref="C205:L205" si="7">C144</f>
        <v>1191614326.3187001</v>
      </c>
      <c r="D205" s="430">
        <f t="shared" si="7"/>
        <v>1981533519.1402001</v>
      </c>
      <c r="E205" s="430">
        <f t="shared" si="7"/>
        <v>2634536946.3116102</v>
      </c>
      <c r="F205" s="430">
        <f t="shared" si="7"/>
        <v>3274265875.4202003</v>
      </c>
      <c r="G205" s="430">
        <f t="shared" si="7"/>
        <v>3786902727.4961987</v>
      </c>
      <c r="H205" s="430">
        <f t="shared" si="7"/>
        <v>8559734639.31217</v>
      </c>
      <c r="I205" s="430">
        <f t="shared" si="7"/>
        <v>9025808896.948</v>
      </c>
      <c r="J205" s="430">
        <f t="shared" si="7"/>
        <v>22299054636.271202</v>
      </c>
      <c r="K205" s="430">
        <f t="shared" si="7"/>
        <v>21709369109.423</v>
      </c>
      <c r="L205" s="430">
        <f t="shared" si="7"/>
        <v>155273868153.82434</v>
      </c>
      <c r="M205" s="498">
        <f>M144</f>
        <v>230166499376.43732</v>
      </c>
    </row>
    <row r="206" spans="1:13" s="408" customFormat="1" ht="18" customHeight="1">
      <c r="A206" s="429" t="s">
        <v>722</v>
      </c>
      <c r="B206" s="441">
        <v>60903639.167799994</v>
      </c>
      <c r="C206" s="441">
        <v>126715390.54629999</v>
      </c>
      <c r="D206" s="441">
        <v>149170469.83577001</v>
      </c>
      <c r="E206" s="441">
        <v>162655194.80129999</v>
      </c>
      <c r="F206" s="441">
        <v>167380472.73018</v>
      </c>
      <c r="G206" s="441">
        <v>181138366.30259001</v>
      </c>
      <c r="H206" s="441">
        <v>358495235.37840003</v>
      </c>
      <c r="I206" s="441">
        <v>333270032.39320004</v>
      </c>
      <c r="J206" s="441">
        <v>733629977.78097999</v>
      </c>
      <c r="K206" s="441">
        <v>558584570.83399999</v>
      </c>
      <c r="L206" s="441">
        <v>5948824968.9515305</v>
      </c>
      <c r="M206" s="619">
        <f t="shared" ref="M206" si="8">SUM(B206:L206)</f>
        <v>8780768318.7220497</v>
      </c>
    </row>
    <row r="207" spans="1:13" s="431" customFormat="1" ht="17.100000000000001" customHeight="1">
      <c r="A207" s="429"/>
      <c r="B207" s="430"/>
      <c r="C207" s="430"/>
      <c r="D207" s="430"/>
      <c r="E207" s="430"/>
      <c r="F207" s="430"/>
      <c r="G207" s="430"/>
      <c r="H207" s="430"/>
      <c r="I207" s="430"/>
      <c r="J207" s="430"/>
      <c r="K207" s="430"/>
      <c r="L207" s="430"/>
      <c r="M207" s="498"/>
    </row>
    <row r="208" spans="1:13" s="431" customFormat="1" ht="18" customHeight="1">
      <c r="A208" s="429" t="s">
        <v>30</v>
      </c>
      <c r="B208" s="1197">
        <f>SUM(B204:B206)</f>
        <v>686170339.71588993</v>
      </c>
      <c r="C208" s="1197">
        <f t="shared" ref="C208:K208" si="9">SUM(C204:C206)</f>
        <v>1919700051.70925</v>
      </c>
      <c r="D208" s="1197">
        <f t="shared" si="9"/>
        <v>3216227039.2669702</v>
      </c>
      <c r="E208" s="1197">
        <f t="shared" si="9"/>
        <v>4224246486.7417102</v>
      </c>
      <c r="F208" s="1197">
        <f t="shared" si="9"/>
        <v>5175175070.20158</v>
      </c>
      <c r="G208" s="1197">
        <f t="shared" si="9"/>
        <v>5949979222.5257883</v>
      </c>
      <c r="H208" s="1197">
        <f t="shared" si="9"/>
        <v>13166397499.055872</v>
      </c>
      <c r="I208" s="1197">
        <f t="shared" si="9"/>
        <v>13588958619.3272</v>
      </c>
      <c r="J208" s="1197">
        <f t="shared" si="9"/>
        <v>32214877258.351574</v>
      </c>
      <c r="K208" s="1197">
        <f t="shared" si="9"/>
        <v>29902889949.517052</v>
      </c>
      <c r="L208" s="1197">
        <f>SUM(L204:L206)</f>
        <v>200311740374.10165</v>
      </c>
      <c r="M208" s="1198">
        <f>SUM(M204:M206)</f>
        <v>310356361910.51453</v>
      </c>
    </row>
    <row r="210" spans="1:13" ht="17.100000000000001" customHeight="1">
      <c r="A210" s="400" t="s">
        <v>19</v>
      </c>
      <c r="M210" s="815"/>
    </row>
    <row r="211" spans="1:13" ht="17.100000000000001" customHeight="1">
      <c r="A211" s="692" t="s">
        <v>983</v>
      </c>
    </row>
    <row r="212" spans="1:13" ht="17.100000000000001" customHeight="1">
      <c r="A212" s="400" t="s">
        <v>723</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2020</dc:title>
  <dc:subject>Department of Taxation's Annual Report for Fiscal Year 2020</dc:subject>
  <dc:creator>Virginia Tax</dc:creator>
  <cp:lastModifiedBy>Frank B</cp:lastModifiedBy>
  <cp:lastPrinted>2021-10-05T11:47:54Z</cp:lastPrinted>
  <dcterms:created xsi:type="dcterms:W3CDTF">2008-10-20T18:07:18Z</dcterms:created>
  <dcterms:modified xsi:type="dcterms:W3CDTF">2021-10-05T12:40:13Z</dcterms:modified>
</cp:coreProperties>
</file>